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Kudryashov\Desktop\ESG\ESG indictors\2020\3 Квартал\"/>
    </mc:Choice>
  </mc:AlternateContent>
  <bookViews>
    <workbookView xWindow="0" yWindow="0" windowWidth="18996" windowHeight="8124" tabRatio="475"/>
  </bookViews>
  <sheets>
    <sheet name="МЕНЮ" sheetId="4" r:id="rId1"/>
    <sheet name="ЭКОЛОГИЯ" sheetId="5" r:id="rId2"/>
    <sheet name="ЭНЕРГОЭФФЕКТИВНОСТЬ" sheetId="7" r:id="rId3"/>
    <sheet name="СОЦИАЛЬНАЯ ОТВЕТСТВЕННОСТЬ" sheetId="2" r:id="rId4"/>
    <sheet name="КОРПОРАТИВНОЕ УПРАВЛЕНИЕ" sheetId="6" r:id="rId5"/>
  </sheets>
  <externalReferences>
    <externalReference r:id="rId6"/>
    <externalReference r:id="rId7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0" hidden="1">#REF!</definedName>
    <definedName name="_Sort" localSheetId="2" hidden="1">#REF!</definedName>
    <definedName name="_Sort" hidden="1">#REF!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0" hidden="1">#REF!</definedName>
    <definedName name="_xlnm._FilterDatabase" localSheetId="2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dddddd" localSheetId="0" hidden="1">{"FCB_ALL",#N/A,FALSE,"FCB";"GREY_ALL",#N/A,FALSE,"GREY"}</definedName>
    <definedName name="dddddd" hidden="1">{"FCB_ALL",#N/A,FALSE,"FCB";"GREY_ALL",#N/A,FALSE,"GREY"}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0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0" hidden="1">{"page1",#N/A,TRUE,"CSC";"page2",#N/A,TRUE,"CSC"}</definedName>
    <definedName name="lkjlklkjlkjlkj" hidden="1">{"page1",#N/A,TRUE,"CSC";"page2",#N/A,TRUE,"CSC"}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0" hidden="1">{"CSC_1",#N/A,FALSE,"CSC Outputs";"CSC_2",#N/A,FALSE,"CSC Outputs"}</definedName>
    <definedName name="New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0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0" hidden="1">{#N/A,#N/A,FALSE,"TradeSumm";#N/A,#N/A,FALSE,"StatsSumm"}</definedName>
    <definedName name="wrn.Alex." hidden="1">{#N/A,#N/A,FALSE,"TradeSumm";#N/A,#N/A,FALSE,"StatsSumm"}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0" hidden="1">{"Assumptions",#N/A,FALSE,"Assum"}</definedName>
    <definedName name="wrn.Assumptions." hidden="1">{"Assumptions",#N/A,FALSE,"Assum"}</definedName>
    <definedName name="wrn.CAG." localSheetId="0" hidden="1">{#N/A,#N/A,FALSE,"CAG"}</definedName>
    <definedName name="wrn.CAG." hidden="1">{#N/A,#N/A,FALSE,"CAG"}</definedName>
    <definedName name="wrn.Cider." localSheetId="0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0" hidden="1">{#N/A,#N/A,FALSE,"Contribution Analysis"}</definedName>
    <definedName name="wrn.contribution." hidden="1">{#N/A,#N/A,FALSE,"Contribution Analysis"}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0" hidden="1">{#N/A,#N/A,FALSE,"CPB"}</definedName>
    <definedName name="wrn.CPB." hidden="1">{#N/A,#N/A,FALSE,"CPB"}</definedName>
    <definedName name="wrn.Credit._.Summary." localSheetId="0" hidden="1">{#N/A,#N/A,FALSE,"Credit Summary"}</definedName>
    <definedName name="wrn.Credit._.Summary." hidden="1">{#N/A,#N/A,FALSE,"Credit Summary"}</definedName>
    <definedName name="wrn.CSC." localSheetId="0" hidden="1">{"page1",#N/A,TRUE,"CSC";"page2",#N/A,TRUE,"CSC"}</definedName>
    <definedName name="wrn.CSC." hidden="1">{"page1",#N/A,TRUE,"CSC";"page2",#N/A,TRUE,"CSC"}</definedName>
    <definedName name="wrn.CSC2" localSheetId="0" hidden="1">{"page1",#N/A,TRUE,"CSC";"page2",#N/A,TRUE,"CSC"}</definedName>
    <definedName name="wrn.CSC2" hidden="1">{"page1",#N/A,TRUE,"CSC";"page2",#N/A,TRUE,"CSC"}</definedName>
    <definedName name="wrn.csc2." localSheetId="0" hidden="1">{#N/A,#N/A,FALSE,"ORIX CSC"}</definedName>
    <definedName name="wrn.csc2." hidden="1">{#N/A,#N/A,FALSE,"ORIX CSC"}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0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0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0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0" hidden="1">{"FCB_ALL",#N/A,FALSE,"FCB"}</definedName>
    <definedName name="wrn.FCB." hidden="1">{"FCB_ALL",#N/A,FALSE,"FCB"}</definedName>
    <definedName name="wrn.fcb2" localSheetId="0" hidden="1">{"FCB_ALL",#N/A,FALSE,"FCB"}</definedName>
    <definedName name="wrn.fcb2" hidden="1">{"FCB_ALL",#N/A,FALSE,"FCB"}</definedName>
    <definedName name="wrn.FE._.Sensitivity." localSheetId="0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0" hidden="1">{#N/A,#N/A,FALSE,"GIS"}</definedName>
    <definedName name="wrn.GIS." hidden="1">{#N/A,#N/A,FALSE,"GIS"}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0" hidden="1">{#N/A,#N/A,FALSE,"HNZ"}</definedName>
    <definedName name="wrn.HNZ." hidden="1">{#N/A,#N/A,FALSE,"HNZ"}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0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0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0" hidden="1">{#N/A,#N/A,FALSE,"K"}</definedName>
    <definedName name="wrn.K." hidden="1">{#N/A,#N/A,FALSE,"K"}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0" hidden="1">{#N/A,#N/A,FALSE,"MCCRK"}</definedName>
    <definedName name="wrn.MCCRK." hidden="1">{#N/A,#N/A,FALSE,"MCCRK"}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0" hidden="1">{#N/A,#N/A,FALSE,"NA"}</definedName>
    <definedName name="wrn.NA." hidden="1">{#N/A,#N/A,FALSE,"NA"}</definedName>
    <definedName name="wrn.NA._.Model._.T._.and._.B." localSheetId="0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0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0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0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tandalone." localSheetId="0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0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ard." localSheetId="0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0" hidden="1">{"test2",#N/A,TRUE,"Prices"}</definedName>
    <definedName name="wrn.test." hidden="1">{"test2",#N/A,TRUE,"Prices"}</definedName>
    <definedName name="wrn.Trading._.Summary." localSheetId="0" hidden="1">{#N/A,#N/A,FALSE,"Trading Summary"}</definedName>
    <definedName name="wrn.Trading._.Summary." hidden="1">{#N/A,#N/A,FALSE,"Trading Summary"}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0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0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0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0" hidden="1">{#N/A,#N/A,FALSE,"WWY"}</definedName>
    <definedName name="wrn.WWY." hidden="1">{#N/A,#N/A,FALSE,"WWY"}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4">'КОРПОРАТИВНОЕ УПРАВЛЕНИЕ'!#REF!</definedName>
    <definedName name="_xlnm.Print_Area" localSheetId="0">МЕНЮ!$A$1:$Q$53</definedName>
    <definedName name="_xlnm.Print_Area" localSheetId="3">'СОЦИАЛЬНАЯ ОТВЕТСТВЕННОСТЬ'!$A$1:$K$2</definedName>
    <definedName name="_xlnm.Print_Area" localSheetId="1">ЭКОЛОГИЯ!$A$1:$K$3</definedName>
    <definedName name="_xlnm.Print_Area" localSheetId="2">ЭНЕРГОЭФФЕКТИВНОСТЬ!#REF!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0" hidden="1">#REF!</definedName>
    <definedName name="прмтмиато" localSheetId="2" hidden="1">#REF!</definedName>
    <definedName name="прмтмиато" hidden="1">#REF!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7" l="1"/>
  <c r="E38" i="7"/>
  <c r="E37" i="7"/>
  <c r="E36" i="7"/>
  <c r="F39" i="7"/>
  <c r="F38" i="7"/>
  <c r="F37" i="7"/>
  <c r="F36" i="7"/>
  <c r="F35" i="7"/>
  <c r="G39" i="7"/>
  <c r="G38" i="7"/>
  <c r="G37" i="7"/>
  <c r="G36" i="7"/>
  <c r="G35" i="7"/>
  <c r="H39" i="7"/>
  <c r="H38" i="7"/>
  <c r="H37" i="7"/>
  <c r="H36" i="7"/>
  <c r="H35" i="7"/>
  <c r="I38" i="7"/>
  <c r="E35" i="7"/>
  <c r="I39" i="7" l="1"/>
  <c r="I37" i="7"/>
  <c r="I36" i="7"/>
  <c r="I13" i="6" l="1"/>
  <c r="I57" i="7"/>
  <c r="I53" i="7"/>
  <c r="I52" i="7"/>
  <c r="I51" i="7"/>
  <c r="I10" i="6" l="1"/>
  <c r="I15" i="6"/>
  <c r="I25" i="7" l="1"/>
  <c r="I23" i="7"/>
  <c r="I18" i="7"/>
  <c r="I17" i="7"/>
  <c r="I16" i="7"/>
  <c r="I15" i="7"/>
  <c r="I11" i="7"/>
  <c r="I10" i="7"/>
  <c r="I9" i="7"/>
  <c r="I8" i="7"/>
  <c r="I80" i="7"/>
  <c r="I35" i="7" s="1"/>
  <c r="I74" i="7"/>
  <c r="I49" i="7" s="1"/>
  <c r="I11" i="5"/>
  <c r="I12" i="5"/>
  <c r="I18" i="5"/>
  <c r="I17" i="5"/>
  <c r="I19" i="5"/>
  <c r="I16" i="5"/>
  <c r="I21" i="7" l="1"/>
  <c r="I14" i="7"/>
  <c r="I7" i="7"/>
  <c r="I86" i="5"/>
  <c r="I80" i="5" l="1"/>
  <c r="H57" i="7" l="1"/>
  <c r="G57" i="7"/>
  <c r="F57" i="7"/>
  <c r="E57" i="7"/>
  <c r="H53" i="7"/>
  <c r="G53" i="7"/>
  <c r="F53" i="7"/>
  <c r="E53" i="7"/>
  <c r="H52" i="7"/>
  <c r="G52" i="7"/>
  <c r="F52" i="7"/>
  <c r="E52" i="7"/>
  <c r="H51" i="7"/>
  <c r="G51" i="7"/>
  <c r="F51" i="7"/>
  <c r="E51" i="7"/>
  <c r="H50" i="7"/>
  <c r="G50" i="7"/>
  <c r="H49" i="7"/>
  <c r="G49" i="7"/>
  <c r="F49" i="7"/>
  <c r="E49" i="7"/>
  <c r="H25" i="7"/>
  <c r="G25" i="7"/>
  <c r="F25" i="7"/>
  <c r="E25" i="7"/>
  <c r="H23" i="7"/>
  <c r="G23" i="7"/>
  <c r="F23" i="7"/>
  <c r="E23" i="7"/>
  <c r="H21" i="7"/>
  <c r="G21" i="7"/>
  <c r="F21" i="7"/>
  <c r="E21" i="7"/>
  <c r="H18" i="7"/>
  <c r="G18" i="7"/>
  <c r="F18" i="7"/>
  <c r="E18" i="7"/>
  <c r="H17" i="7"/>
  <c r="G17" i="7"/>
  <c r="F17" i="7"/>
  <c r="E17" i="7"/>
  <c r="H16" i="7"/>
  <c r="G16" i="7"/>
  <c r="F16" i="7"/>
  <c r="E16" i="7"/>
  <c r="H15" i="7"/>
  <c r="E15" i="7"/>
  <c r="G15" i="7"/>
  <c r="F15" i="7"/>
  <c r="H14" i="7"/>
  <c r="G14" i="7"/>
  <c r="F14" i="7"/>
  <c r="E14" i="7"/>
  <c r="H11" i="7"/>
  <c r="G11" i="7"/>
  <c r="F11" i="7"/>
  <c r="E11" i="7"/>
  <c r="H10" i="7"/>
  <c r="G10" i="7"/>
  <c r="F10" i="7"/>
  <c r="E10" i="7"/>
  <c r="H9" i="7"/>
  <c r="G9" i="7"/>
  <c r="F9" i="7"/>
  <c r="E9" i="7"/>
  <c r="G8" i="7"/>
  <c r="H8" i="7"/>
  <c r="F8" i="7"/>
  <c r="E8" i="7"/>
  <c r="H7" i="7"/>
  <c r="G7" i="7"/>
  <c r="F7" i="7"/>
  <c r="E7" i="7"/>
  <c r="H15" i="6" l="1"/>
  <c r="G15" i="6"/>
  <c r="F15" i="6"/>
  <c r="E15" i="6"/>
  <c r="D15" i="6"/>
  <c r="C15" i="6"/>
  <c r="H13" i="6"/>
  <c r="G13" i="6"/>
  <c r="F13" i="6"/>
  <c r="E13" i="6"/>
  <c r="D13" i="6"/>
  <c r="C13" i="6"/>
  <c r="H10" i="6"/>
  <c r="G10" i="6"/>
  <c r="F10" i="6"/>
  <c r="E10" i="6"/>
  <c r="D10" i="6"/>
  <c r="C10" i="6"/>
</calcChain>
</file>

<file path=xl/sharedStrings.xml><?xml version="1.0" encoding="utf-8"?>
<sst xmlns="http://schemas.openxmlformats.org/spreadsheetml/2006/main" count="800" uniqueCount="183">
  <si>
    <t>%</t>
  </si>
  <si>
    <t>тыс. т</t>
  </si>
  <si>
    <t>Количество женщин в Совете директоров</t>
  </si>
  <si>
    <t>Ед. измерения</t>
  </si>
  <si>
    <t>человек</t>
  </si>
  <si>
    <t xml:space="preserve">     независимые директора</t>
  </si>
  <si>
    <t xml:space="preserve">     неисполнительные директора</t>
  </si>
  <si>
    <t xml:space="preserve">     исполнительные директора</t>
  </si>
  <si>
    <t>Количество директоров в Совете, в том числе:</t>
  </si>
  <si>
    <t>1-3 года</t>
  </si>
  <si>
    <t xml:space="preserve">       доля независимых директоров</t>
  </si>
  <si>
    <t>40-60 лет</t>
  </si>
  <si>
    <t>Свыше 60 лет</t>
  </si>
  <si>
    <t>Комитет по стратегии</t>
  </si>
  <si>
    <t xml:space="preserve">    независимые директора</t>
  </si>
  <si>
    <t>Количество заседаний комитета</t>
  </si>
  <si>
    <t>штук</t>
  </si>
  <si>
    <t>н/д</t>
  </si>
  <si>
    <t>Доля независимых директоров в составе Комитета</t>
  </si>
  <si>
    <t>Председатель Комитета - независимый директор</t>
  </si>
  <si>
    <t>да</t>
  </si>
  <si>
    <t>нет</t>
  </si>
  <si>
    <t xml:space="preserve">       доля неисполнительных директоров</t>
  </si>
  <si>
    <t xml:space="preserve">       доля исполнительных директоров</t>
  </si>
  <si>
    <t>-</t>
  </si>
  <si>
    <t xml:space="preserve">                        Экологические показатели</t>
  </si>
  <si>
    <t>Менее года</t>
  </si>
  <si>
    <t>Более 3 лет</t>
  </si>
  <si>
    <t>До 40 лет</t>
  </si>
  <si>
    <t>Количество директоров, в том числе:</t>
  </si>
  <si>
    <t xml:space="preserve">Структура Совета директоров </t>
  </si>
  <si>
    <t xml:space="preserve">Продолжительность работы директоров в Совете </t>
  </si>
  <si>
    <t xml:space="preserve">Возрастной диапазон директоров </t>
  </si>
  <si>
    <t xml:space="preserve">Опыт и классификация </t>
  </si>
  <si>
    <t xml:space="preserve">    очные заседания</t>
  </si>
  <si>
    <t>Количество заседаний Совета директоров, в том числе:</t>
  </si>
  <si>
    <t>да / нет</t>
  </si>
  <si>
    <t>Количество членов Правления</t>
  </si>
  <si>
    <t>Количество заседаний Правления</t>
  </si>
  <si>
    <t>ЭКОЛОГИЯ</t>
  </si>
  <si>
    <t>СОЦИАЛЬНАЯ ОТВЕТСТВЕННОСТЬ</t>
  </si>
  <si>
    <t>КОРПОРАТИВНОЕ УПРАВЛЕНИЕ</t>
  </si>
  <si>
    <t>Меню</t>
  </si>
  <si>
    <t>Затраты на мероприятия по охране труда</t>
  </si>
  <si>
    <t xml:space="preserve">Справочник по ESG показателям </t>
  </si>
  <si>
    <t>группы ФосАгро</t>
  </si>
  <si>
    <t>Отдел устойчивого развития</t>
  </si>
  <si>
    <t>ir@phosagro.ru</t>
  </si>
  <si>
    <t>Тел.: +7 495 232 96 89</t>
  </si>
  <si>
    <t>Балаковский филиал</t>
  </si>
  <si>
    <t>Кировский филиал</t>
  </si>
  <si>
    <t>Волховский филиал</t>
  </si>
  <si>
    <t xml:space="preserve">Минеральные удобрения </t>
  </si>
  <si>
    <t>Кормовой монокальцийфосфат</t>
  </si>
  <si>
    <t>Аммиак</t>
  </si>
  <si>
    <t>Азотная кислота</t>
  </si>
  <si>
    <t>САФУ и селитра</t>
  </si>
  <si>
    <t>карбамид</t>
  </si>
  <si>
    <t>серная кислота</t>
  </si>
  <si>
    <t>фосфорная кислота</t>
  </si>
  <si>
    <t>фтористый алюминий</t>
  </si>
  <si>
    <t>апатитовый и нефелиновый концентраты</t>
  </si>
  <si>
    <t>триполифосфат натрия</t>
  </si>
  <si>
    <t>Итого</t>
  </si>
  <si>
    <t>КФА</t>
  </si>
  <si>
    <t>БФА</t>
  </si>
  <si>
    <t>ВФА</t>
  </si>
  <si>
    <t>АПТ</t>
  </si>
  <si>
    <t>Удельные выбросы загрязняющих веществ</t>
  </si>
  <si>
    <t>Выручка, МСФО</t>
  </si>
  <si>
    <t>$ mln</t>
  </si>
  <si>
    <t>ВСЕГО по производственным активам</t>
  </si>
  <si>
    <t>Череповецкий комплекс</t>
  </si>
  <si>
    <t xml:space="preserve">    в т.ч. оксид азота (NОx)</t>
  </si>
  <si>
    <t xml:space="preserve">    в т.ч. диоксид серы (SO2)</t>
  </si>
  <si>
    <t>tons/ $ mln sales</t>
  </si>
  <si>
    <t>кг/т</t>
  </si>
  <si>
    <t>Удельный объем забираемой воды</t>
  </si>
  <si>
    <t>Цель 2025</t>
  </si>
  <si>
    <t>Удельные сбросы сточных вод</t>
  </si>
  <si>
    <t>Удельные сбросы загрязняющих веществ</t>
  </si>
  <si>
    <t>Удельные выбросы парниковых газов</t>
  </si>
  <si>
    <t>Удельное образование отходов</t>
  </si>
  <si>
    <t>т/т</t>
  </si>
  <si>
    <t>Производство</t>
  </si>
  <si>
    <t xml:space="preserve">Выручка </t>
  </si>
  <si>
    <t>Расходы на природоохранную деятельность</t>
  </si>
  <si>
    <t>Всего, в т.ч.</t>
  </si>
  <si>
    <t xml:space="preserve">  текущие затраты на ООС (форма №4-ОС)</t>
  </si>
  <si>
    <t xml:space="preserve">  инвестиции в основной капитал, направленные на ООС (форма №18-КС)</t>
  </si>
  <si>
    <t xml:space="preserve">  платежи за негативное воздействие на ОС</t>
  </si>
  <si>
    <t xml:space="preserve">  инвестиции в основной капитал, направленные на ООС (не вошедшие в форму 18 - КС)</t>
  </si>
  <si>
    <t>млн рублей</t>
  </si>
  <si>
    <t xml:space="preserve">        Энергоэффективность</t>
  </si>
  <si>
    <t xml:space="preserve">                        Персонал и социальные показатели</t>
  </si>
  <si>
    <t xml:space="preserve">                        Охрана труда и промышленная безопасность</t>
  </si>
  <si>
    <t>Охват</t>
  </si>
  <si>
    <t>Несчастные случаи (сотрудники)* 
(за исключением смертельных)</t>
  </si>
  <si>
    <t>Несчастные случаи (подрядчики)* 
(за исключением смертельных)</t>
  </si>
  <si>
    <t>АО "Апатит"</t>
  </si>
  <si>
    <t>КФ АО "Апатит"</t>
  </si>
  <si>
    <t>БФ АО "Апатит"</t>
  </si>
  <si>
    <t>шт</t>
  </si>
  <si>
    <t>Несчастные случаи, всего (сотрудники + подрядчики)</t>
  </si>
  <si>
    <t>Смертельные случаи случаи, всего (сотрудники + подрядчики)</t>
  </si>
  <si>
    <t>коэф</t>
  </si>
  <si>
    <t>Коэффициент частоты травм с потерей трудоспособности (LTIFR, на 1 млн часов), сотрудники</t>
  </si>
  <si>
    <t>Несчастные случаи</t>
  </si>
  <si>
    <t>Смертельные случаи</t>
  </si>
  <si>
    <t>LTIFR</t>
  </si>
  <si>
    <t>FIFR</t>
  </si>
  <si>
    <t>Коэффициент частоты смертельных случаев  (FIFR, на 200 тыс часов), сотрудники</t>
  </si>
  <si>
    <t>Коэффициент частоты травм с потерей трудоспособности (LTIFR, на 200 тыс часов), сотрудники</t>
  </si>
  <si>
    <t>тыс рублей</t>
  </si>
  <si>
    <t xml:space="preserve">Всего по группе </t>
  </si>
  <si>
    <t>*  Статистика травматизма представлена по числу пострадавших  (только собственный персонал АО "Апатит",КФ,БФ, АО "Метахим")  в результате несчастных случаев на производстве, подлежащих регистрации и учету в соответствии с законодательством РФ.</t>
  </si>
  <si>
    <t>2018</t>
  </si>
  <si>
    <t xml:space="preserve">     Председатель совета директоров - независимый директор</t>
  </si>
  <si>
    <t>3</t>
  </si>
  <si>
    <t>продажи</t>
  </si>
  <si>
    <t>финансовые рынки</t>
  </si>
  <si>
    <t>финансы и аудит</t>
  </si>
  <si>
    <t>химическая, горная промышленность</t>
  </si>
  <si>
    <t xml:space="preserve">                        Показатели в области корпоративного управления</t>
  </si>
  <si>
    <t>Комитеты Совета директоров</t>
  </si>
  <si>
    <t>Комитет по аудиту</t>
  </si>
  <si>
    <t>Комитет по вознаграждениям и кадрам</t>
  </si>
  <si>
    <t xml:space="preserve">Комитет по охране труда, промышленной безопасности и охране окружающей среды </t>
  </si>
  <si>
    <t>33%</t>
  </si>
  <si>
    <t>Структурное подразделение (подразделения) по управлению рисками и внутреннему контролю</t>
  </si>
  <si>
    <t>Подразделение внутреннего аудита, подчиненное совету директоров</t>
  </si>
  <si>
    <t>Наличие отдельного структурного подразделения (подразделений) по управлению рисками и внутреннему контролю</t>
  </si>
  <si>
    <t>Управление внутреннего аудита</t>
  </si>
  <si>
    <t>Вознаграждение аудитора</t>
  </si>
  <si>
    <t xml:space="preserve">Размер вознаграждения аудитора </t>
  </si>
  <si>
    <t>Количество человек, находящихся в отпуске по беременности и родам, по уходу за детьми</t>
  </si>
  <si>
    <t>Вновь нанятые сотрудники</t>
  </si>
  <si>
    <t>Текучесть кадров</t>
  </si>
  <si>
    <t>Затраты на ДМС, профосмотры</t>
  </si>
  <si>
    <t>Затарты на оздоровительный отдых, санаторно-курортное лечение</t>
  </si>
  <si>
    <t>Поддержка детства и материнства</t>
  </si>
  <si>
    <t>Единовременное пособие при уходе на пенсию</t>
  </si>
  <si>
    <t>Затраты на программы оздоровления</t>
  </si>
  <si>
    <t>тыс руб/чел</t>
  </si>
  <si>
    <t xml:space="preserve">Среднее количество часов обучения, полученных сотрудниками организации за отчетный период </t>
  </si>
  <si>
    <t>Обучение в области прав человека</t>
  </si>
  <si>
    <t>лет</t>
  </si>
  <si>
    <t>Средний возраст</t>
  </si>
  <si>
    <t>Коэффициент лояльности и удовлетворенности персонала</t>
  </si>
  <si>
    <t>рублей</t>
  </si>
  <si>
    <t>Средняя заработная плата</t>
  </si>
  <si>
    <t>Всего по производственным активам</t>
  </si>
  <si>
    <t>Вода используемая повторно</t>
  </si>
  <si>
    <t>млн. м куб.</t>
  </si>
  <si>
    <t>ЭНЕРГОЭФФЕКТИВНОСТЬ</t>
  </si>
  <si>
    <t>Удельное образование отходов I - IV классов</t>
  </si>
  <si>
    <t>Доля утилизации и переработки отходов I - IV классов</t>
  </si>
  <si>
    <t>м3/т</t>
  </si>
  <si>
    <t>Электроэнергия (собственное потребление, удельное)</t>
  </si>
  <si>
    <t>Электроэнергия закупаемая (удельная)</t>
  </si>
  <si>
    <t>Электроэнергия произведенная (удельная)</t>
  </si>
  <si>
    <t>Самообеспеченность электроэнергией</t>
  </si>
  <si>
    <t>Потребление теплоэнергии (удельное)</t>
  </si>
  <si>
    <t>Природный газ потребление (удельное)</t>
  </si>
  <si>
    <t>Мазут потребление (удельное)</t>
  </si>
  <si>
    <t>Среднесписочная численность</t>
  </si>
  <si>
    <t>Количество человек, вернувшихся на работу из отпуска по беременности и родам, по уходу за детьми</t>
  </si>
  <si>
    <t>ВФ АО "Апатит"</t>
  </si>
  <si>
    <t>Правление</t>
  </si>
  <si>
    <t>Комитет по управлению рисками</t>
  </si>
  <si>
    <t>Совет директоров</t>
  </si>
  <si>
    <t>тыс. кВтч/т</t>
  </si>
  <si>
    <t>тыс. м куб./т</t>
  </si>
  <si>
    <t xml:space="preserve">Смертельные случаи случаи (сотрудники)* </t>
  </si>
  <si>
    <t xml:space="preserve">Смертельные случаи случаи (подрядчики)* </t>
  </si>
  <si>
    <t>0,79 / 2,12</t>
  </si>
  <si>
    <t>2019</t>
  </si>
  <si>
    <t>Гкал/т</t>
  </si>
  <si>
    <t xml:space="preserve">  штрафы / оплата ущерба за экологическое воздействие</t>
  </si>
  <si>
    <t>2019*</t>
  </si>
  <si>
    <t xml:space="preserve">* Цель пересматривается в сторону более амбициозной в связи с достижением в 2019 году целевого показателя досрочно. </t>
  </si>
  <si>
    <t xml:space="preserve">* В 2019 изменена система учета и подсчетов показателя удельного потребления тепловой энергии. </t>
  </si>
  <si>
    <t>Комитет по устойчивому развитию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</si>
</sst>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00"/>
    <numFmt numFmtId="167" formatCode="#,##0.000"/>
  </numFmts>
  <fonts count="4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63"/>
      <name val="Tahoma"/>
      <family val="2"/>
      <charset val="204"/>
    </font>
    <font>
      <sz val="12"/>
      <name val="Tahoma"/>
      <family val="2"/>
      <charset val="204"/>
    </font>
    <font>
      <sz val="12"/>
      <name val="Arial"/>
      <family val="2"/>
      <charset val="204"/>
    </font>
    <font>
      <b/>
      <sz val="12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Tahoma"/>
      <family val="2"/>
      <charset val="204"/>
    </font>
    <font>
      <sz val="12"/>
      <color theme="1" tint="0.34998626667073579"/>
      <name val="Arial"/>
      <family val="2"/>
      <charset val="204"/>
    </font>
    <font>
      <sz val="12"/>
      <color theme="1" tint="0.34998626667073579"/>
      <name val="Tahoma"/>
      <family val="2"/>
      <charset val="204"/>
    </font>
    <font>
      <sz val="10"/>
      <color theme="1" tint="0.34998626667073579"/>
      <name val="Arial"/>
      <family val="2"/>
      <charset val="204"/>
    </font>
    <font>
      <b/>
      <sz val="18"/>
      <color theme="1" tint="0.34998626667073579"/>
      <name val="PTSansPro-Regular"/>
      <family val="2"/>
    </font>
    <font>
      <u/>
      <sz val="12"/>
      <color theme="10"/>
      <name val="PTSansPro-Regular"/>
      <family val="2"/>
    </font>
    <font>
      <sz val="12"/>
      <color theme="1" tint="0.34998626667073579"/>
      <name val="PTSansPro-Regular"/>
      <family val="2"/>
    </font>
    <font>
      <b/>
      <sz val="12"/>
      <color theme="1" tint="0.34998626667073579"/>
      <name val="PTSansPro-Regular"/>
      <family val="2"/>
    </font>
    <font>
      <u/>
      <sz val="11"/>
      <color theme="10"/>
      <name val="PTSansPro-Regular"/>
      <family val="2"/>
    </font>
    <font>
      <b/>
      <sz val="12"/>
      <color theme="0"/>
      <name val="PTSansPro-Regular"/>
      <family val="2"/>
    </font>
    <font>
      <sz val="10"/>
      <color theme="0"/>
      <name val="PTSansPro-Regular"/>
      <family val="2"/>
    </font>
    <font>
      <sz val="9"/>
      <color theme="1"/>
      <name val="PTSansPro-Regular"/>
      <family val="2"/>
    </font>
    <font>
      <sz val="9"/>
      <color indexed="8"/>
      <name val="PTSansPro-Regular"/>
      <family val="2"/>
    </font>
    <font>
      <b/>
      <sz val="9"/>
      <color theme="1"/>
      <name val="PTSansPro-Regular"/>
      <family val="2"/>
    </font>
    <font>
      <sz val="9"/>
      <color indexed="63"/>
      <name val="PTSansPro-Regular"/>
      <family val="2"/>
    </font>
    <font>
      <b/>
      <sz val="9"/>
      <color indexed="8"/>
      <name val="PTSansPro-Regular"/>
      <family val="2"/>
    </font>
    <font>
      <sz val="8"/>
      <color theme="1"/>
      <name val="PTSansPro-Regular"/>
      <family val="2"/>
    </font>
    <font>
      <i/>
      <sz val="9"/>
      <color indexed="8"/>
      <name val="PTSansPro-Regular"/>
      <family val="2"/>
    </font>
    <font>
      <i/>
      <sz val="9"/>
      <color indexed="63"/>
      <name val="PTSansPro-Regular"/>
      <family val="2"/>
    </font>
    <font>
      <i/>
      <sz val="9"/>
      <color theme="1"/>
      <name val="PTSansPro-Regular"/>
      <family val="2"/>
    </font>
    <font>
      <i/>
      <sz val="8"/>
      <color theme="1"/>
      <name val="PTSansPro-Regular"/>
      <family val="2"/>
    </font>
    <font>
      <sz val="8"/>
      <color indexed="8"/>
      <name val="PTSansPro-Regular"/>
      <family val="2"/>
    </font>
    <font>
      <sz val="8"/>
      <name val="PTSansPro-Regular"/>
      <family val="2"/>
    </font>
    <font>
      <sz val="9"/>
      <name val="PTSansPro-Regular"/>
      <family val="2"/>
    </font>
    <font>
      <i/>
      <sz val="9"/>
      <name val="PTSansPro-Regular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B9BD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3" borderId="0" applyNumberFormat="0" applyBorder="0" applyProtection="0">
      <alignment horizontal="center"/>
    </xf>
    <xf numFmtId="0" fontId="3" fillId="3" borderId="1"/>
    <xf numFmtId="0" fontId="5" fillId="3" borderId="1"/>
    <xf numFmtId="3" fontId="4" fillId="3" borderId="2">
      <alignment horizontal="right"/>
    </xf>
    <xf numFmtId="0" fontId="6" fillId="0" borderId="0" applyNumberFormat="0" applyFill="0" applyBorder="0" applyAlignment="0" applyProtection="0"/>
    <xf numFmtId="0" fontId="7" fillId="0" borderId="0"/>
  </cellStyleXfs>
  <cellXfs count="194">
    <xf numFmtId="0" fontId="0" fillId="0" borderId="0" xfId="0"/>
    <xf numFmtId="0" fontId="1" fillId="2" borderId="0" xfId="1" applyFill="1"/>
    <xf numFmtId="0" fontId="8" fillId="0" borderId="0" xfId="0" applyFont="1"/>
    <xf numFmtId="0" fontId="0" fillId="0" borderId="0" xfId="0" applyFill="1" applyBorder="1"/>
    <xf numFmtId="0" fontId="8" fillId="0" borderId="0" xfId="7" applyFont="1"/>
    <xf numFmtId="0" fontId="8" fillId="0" borderId="0" xfId="7" applyFont="1" applyFill="1"/>
    <xf numFmtId="0" fontId="8" fillId="0" borderId="0" xfId="7" applyFont="1" applyBorder="1"/>
    <xf numFmtId="0" fontId="9" fillId="3" borderId="0" xfId="4" applyNumberFormat="1" applyFont="1" applyFill="1" applyBorder="1" applyAlignment="1" applyProtection="1">
      <alignment horizontal="left"/>
    </xf>
    <xf numFmtId="0" fontId="0" fillId="0" borderId="0" xfId="0" applyBorder="1"/>
    <xf numFmtId="0" fontId="10" fillId="0" borderId="0" xfId="3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/>
    <xf numFmtId="0" fontId="11" fillId="2" borderId="0" xfId="1" applyFont="1" applyFill="1"/>
    <xf numFmtId="0" fontId="12" fillId="2" borderId="0" xfId="1" applyFont="1" applyFill="1"/>
    <xf numFmtId="0" fontId="1" fillId="2" borderId="0" xfId="1" applyFill="1" applyBorder="1"/>
    <xf numFmtId="0" fontId="12" fillId="2" borderId="0" xfId="1" applyFont="1" applyFill="1" applyBorder="1"/>
    <xf numFmtId="0" fontId="13" fillId="2" borderId="0" xfId="1" applyFont="1" applyFill="1"/>
    <xf numFmtId="0" fontId="14" fillId="2" borderId="0" xfId="0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6" fillId="2" borderId="0" xfId="1" applyFont="1" applyFill="1" applyBorder="1"/>
    <xf numFmtId="0" fontId="17" fillId="2" borderId="0" xfId="1" applyFont="1" applyFill="1"/>
    <xf numFmtId="0" fontId="18" fillId="2" borderId="0" xfId="1" applyFont="1" applyFill="1" applyBorder="1"/>
    <xf numFmtId="0" fontId="19" fillId="2" borderId="0" xfId="1" applyFont="1" applyFill="1"/>
    <xf numFmtId="0" fontId="21" fillId="2" borderId="0" xfId="1" applyFont="1" applyFill="1"/>
    <xf numFmtId="0" fontId="22" fillId="2" borderId="0" xfId="1" applyFont="1" applyFill="1"/>
    <xf numFmtId="0" fontId="23" fillId="2" borderId="0" xfId="6" applyFont="1" applyFill="1"/>
    <xf numFmtId="0" fontId="20" fillId="4" borderId="15" xfId="6" applyFont="1" applyFill="1" applyBorder="1" applyAlignment="1">
      <alignment horizontal="left" vertical="center"/>
    </xf>
    <xf numFmtId="0" fontId="20" fillId="4" borderId="5" xfId="6" applyFont="1" applyFill="1" applyBorder="1" applyAlignment="1">
      <alignment horizontal="left" vertical="center"/>
    </xf>
    <xf numFmtId="0" fontId="20" fillId="4" borderId="13" xfId="6" applyFont="1" applyFill="1" applyBorder="1" applyAlignment="1">
      <alignment horizontal="left" vertical="center"/>
    </xf>
    <xf numFmtId="0" fontId="0" fillId="5" borderId="0" xfId="0" applyFill="1" applyBorder="1"/>
    <xf numFmtId="0" fontId="25" fillId="5" borderId="0" xfId="1" applyFont="1" applyFill="1" applyBorder="1"/>
    <xf numFmtId="0" fontId="27" fillId="3" borderId="7" xfId="4" applyNumberFormat="1" applyFont="1" applyFill="1" applyBorder="1" applyAlignment="1" applyProtection="1"/>
    <xf numFmtId="0" fontId="27" fillId="3" borderId="7" xfId="4" applyNumberFormat="1" applyFont="1" applyFill="1" applyBorder="1" applyAlignment="1" applyProtection="1">
      <alignment horizontal="left"/>
    </xf>
    <xf numFmtId="0" fontId="27" fillId="3" borderId="11" xfId="4" applyNumberFormat="1" applyFont="1" applyFill="1" applyBorder="1" applyAlignment="1" applyProtection="1">
      <alignment horizontal="left"/>
    </xf>
    <xf numFmtId="164" fontId="29" fillId="3" borderId="0" xfId="3" applyNumberFormat="1" applyFont="1" applyFill="1" applyBorder="1" applyAlignment="1" applyProtection="1">
      <alignment horizontal="center"/>
    </xf>
    <xf numFmtId="164" fontId="29" fillId="3" borderId="9" xfId="3" applyNumberFormat="1" applyFont="1" applyFill="1" applyBorder="1" applyAlignment="1" applyProtection="1">
      <alignment horizontal="center"/>
    </xf>
    <xf numFmtId="164" fontId="29" fillId="3" borderId="12" xfId="3" applyNumberFormat="1" applyFont="1" applyFill="1" applyBorder="1" applyAlignment="1" applyProtection="1">
      <alignment horizontal="center"/>
    </xf>
    <xf numFmtId="166" fontId="26" fillId="0" borderId="0" xfId="0" applyNumberFormat="1" applyFont="1" applyAlignment="1">
      <alignment horizontal="center" vertical="center"/>
    </xf>
    <xf numFmtId="166" fontId="26" fillId="0" borderId="8" xfId="0" applyNumberFormat="1" applyFont="1" applyBorder="1" applyAlignment="1">
      <alignment horizontal="center" vertical="center"/>
    </xf>
    <xf numFmtId="166" fontId="26" fillId="0" borderId="6" xfId="0" applyNumberFormat="1" applyFont="1" applyBorder="1" applyAlignment="1">
      <alignment horizontal="center" vertical="center"/>
    </xf>
    <xf numFmtId="166" fontId="26" fillId="0" borderId="10" xfId="0" applyNumberFormat="1" applyFont="1" applyBorder="1" applyAlignment="1">
      <alignment horizontal="center" vertical="center"/>
    </xf>
    <xf numFmtId="0" fontId="25" fillId="5" borderId="0" xfId="1" applyFont="1" applyFill="1" applyBorder="1" applyAlignment="1">
      <alignment horizontal="center" vertical="center"/>
    </xf>
    <xf numFmtId="164" fontId="29" fillId="3" borderId="8" xfId="3" applyNumberFormat="1" applyFont="1" applyFill="1" applyBorder="1" applyAlignment="1" applyProtection="1">
      <alignment horizontal="center"/>
    </xf>
    <xf numFmtId="166" fontId="26" fillId="0" borderId="0" xfId="0" applyNumberFormat="1" applyFont="1" applyBorder="1" applyAlignment="1">
      <alignment horizontal="center" vertical="center"/>
    </xf>
    <xf numFmtId="0" fontId="25" fillId="5" borderId="0" xfId="1" applyFont="1" applyFill="1" applyBorder="1" applyAlignment="1">
      <alignment horizontal="center"/>
    </xf>
    <xf numFmtId="165" fontId="26" fillId="0" borderId="6" xfId="0" applyNumberFormat="1" applyFont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5" fillId="6" borderId="0" xfId="1" applyFont="1" applyFill="1" applyBorder="1"/>
    <xf numFmtId="0" fontId="25" fillId="6" borderId="0" xfId="1" applyFont="1" applyFill="1" applyBorder="1" applyAlignment="1">
      <alignment horizontal="center"/>
    </xf>
    <xf numFmtId="0" fontId="25" fillId="6" borderId="0" xfId="1" applyFont="1" applyFill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0" fillId="0" borderId="0" xfId="0" applyNumberFormat="1"/>
    <xf numFmtId="3" fontId="26" fillId="0" borderId="8" xfId="0" applyNumberFormat="1" applyFont="1" applyBorder="1" applyAlignment="1">
      <alignment horizontal="center" vertical="center"/>
    </xf>
    <xf numFmtId="3" fontId="0" fillId="0" borderId="8" xfId="0" applyNumberFormat="1" applyBorder="1"/>
    <xf numFmtId="0" fontId="30" fillId="3" borderId="20" xfId="4" applyNumberFormat="1" applyFont="1" applyFill="1" applyBorder="1" applyAlignment="1" applyProtection="1">
      <alignment horizontal="left"/>
    </xf>
    <xf numFmtId="3" fontId="28" fillId="0" borderId="5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6" fillId="0" borderId="9" xfId="0" applyFont="1" applyBorder="1"/>
    <xf numFmtId="0" fontId="26" fillId="0" borderId="12" xfId="0" applyFont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166" fontId="26" fillId="0" borderId="12" xfId="0" applyNumberFormat="1" applyFont="1" applyBorder="1" applyAlignment="1">
      <alignment horizontal="center" vertical="center"/>
    </xf>
    <xf numFmtId="0" fontId="27" fillId="3" borderId="11" xfId="4" applyNumberFormat="1" applyFont="1" applyFill="1" applyBorder="1" applyAlignment="1" applyProtection="1"/>
    <xf numFmtId="0" fontId="27" fillId="3" borderId="7" xfId="4" applyNumberFormat="1" applyFont="1" applyFill="1" applyBorder="1" applyAlignment="1" applyProtection="1">
      <alignment wrapText="1"/>
    </xf>
    <xf numFmtId="0" fontId="27" fillId="3" borderId="7" xfId="4" applyNumberFormat="1" applyFont="1" applyFill="1" applyBorder="1" applyAlignment="1" applyProtection="1">
      <alignment horizontal="left" wrapText="1"/>
    </xf>
    <xf numFmtId="0" fontId="27" fillId="3" borderId="11" xfId="4" applyNumberFormat="1" applyFont="1" applyFill="1" applyBorder="1" applyAlignment="1" applyProtection="1">
      <alignment wrapText="1"/>
    </xf>
    <xf numFmtId="164" fontId="26" fillId="0" borderId="0" xfId="0" applyNumberFormat="1" applyFont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164" fontId="26" fillId="0" borderId="6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0" fontId="24" fillId="5" borderId="0" xfId="1" applyFont="1" applyFill="1" applyBorder="1" applyAlignment="1"/>
    <xf numFmtId="0" fontId="24" fillId="5" borderId="0" xfId="1" applyFont="1" applyFill="1" applyBorder="1" applyAlignment="1">
      <alignment horizontal="center"/>
    </xf>
    <xf numFmtId="1" fontId="26" fillId="0" borderId="8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27" fillId="3" borderId="20" xfId="4" applyNumberFormat="1" applyFont="1" applyFill="1" applyBorder="1" applyAlignment="1" applyProtection="1">
      <alignment vertical="top" wrapText="1"/>
    </xf>
    <xf numFmtId="1" fontId="26" fillId="0" borderId="19" xfId="0" applyNumberFormat="1" applyFont="1" applyBorder="1" applyAlignment="1">
      <alignment horizontal="center" vertical="center"/>
    </xf>
    <xf numFmtId="1" fontId="26" fillId="0" borderId="17" xfId="0" applyNumberFormat="1" applyFont="1" applyBorder="1" applyAlignment="1">
      <alignment horizontal="center" vertical="center"/>
    </xf>
    <xf numFmtId="0" fontId="27" fillId="3" borderId="0" xfId="4" applyNumberFormat="1" applyFont="1" applyFill="1" applyBorder="1" applyAlignment="1" applyProtection="1">
      <alignment vertical="top" wrapText="1"/>
    </xf>
    <xf numFmtId="164" fontId="29" fillId="3" borderId="7" xfId="3" applyNumberFormat="1" applyFont="1" applyFill="1" applyBorder="1" applyAlignment="1" applyProtection="1">
      <alignment horizontal="left"/>
    </xf>
    <xf numFmtId="164" fontId="29" fillId="3" borderId="11" xfId="3" applyNumberFormat="1" applyFont="1" applyFill="1" applyBorder="1" applyAlignment="1" applyProtection="1">
      <alignment horizontal="left"/>
    </xf>
    <xf numFmtId="164" fontId="26" fillId="0" borderId="14" xfId="0" applyNumberFormat="1" applyFon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164" fontId="29" fillId="3" borderId="0" xfId="3" applyNumberFormat="1" applyFont="1" applyFill="1" applyBorder="1" applyAlignment="1" applyProtection="1">
      <alignment horizontal="left"/>
    </xf>
    <xf numFmtId="0" fontId="31" fillId="0" borderId="0" xfId="0" applyFont="1"/>
    <xf numFmtId="0" fontId="32" fillId="3" borderId="7" xfId="4" applyNumberFormat="1" applyFont="1" applyFill="1" applyBorder="1" applyAlignment="1" applyProtection="1">
      <alignment horizontal="left"/>
    </xf>
    <xf numFmtId="164" fontId="33" fillId="3" borderId="9" xfId="3" applyNumberFormat="1" applyFont="1" applyFill="1" applyBorder="1" applyAlignment="1" applyProtection="1">
      <alignment horizontal="center"/>
    </xf>
    <xf numFmtId="0" fontId="26" fillId="0" borderId="3" xfId="7" applyFont="1" applyBorder="1" applyAlignment="1">
      <alignment horizontal="center" vertical="center"/>
    </xf>
    <xf numFmtId="9" fontId="34" fillId="0" borderId="3" xfId="7" applyNumberFormat="1" applyFont="1" applyBorder="1" applyAlignment="1">
      <alignment horizontal="center" vertical="center"/>
    </xf>
    <xf numFmtId="0" fontId="32" fillId="3" borderId="0" xfId="4" applyNumberFormat="1" applyFont="1" applyFill="1" applyBorder="1" applyAlignment="1" applyProtection="1">
      <alignment horizontal="left"/>
    </xf>
    <xf numFmtId="164" fontId="33" fillId="3" borderId="0" xfId="3" applyNumberFormat="1" applyFont="1" applyFill="1" applyBorder="1" applyAlignment="1" applyProtection="1">
      <alignment horizontal="center"/>
    </xf>
    <xf numFmtId="1" fontId="34" fillId="0" borderId="0" xfId="7" applyNumberFormat="1" applyFont="1" applyBorder="1" applyAlignment="1">
      <alignment horizontal="center" vertical="center"/>
    </xf>
    <xf numFmtId="0" fontId="32" fillId="3" borderId="11" xfId="4" applyNumberFormat="1" applyFont="1" applyFill="1" applyBorder="1" applyAlignment="1" applyProtection="1">
      <alignment horizontal="left"/>
    </xf>
    <xf numFmtId="164" fontId="33" fillId="3" borderId="12" xfId="3" applyNumberFormat="1" applyFont="1" applyFill="1" applyBorder="1" applyAlignment="1" applyProtection="1">
      <alignment horizontal="center"/>
    </xf>
    <xf numFmtId="1" fontId="34" fillId="0" borderId="4" xfId="7" applyNumberFormat="1" applyFont="1" applyBorder="1" applyAlignment="1">
      <alignment horizontal="center" vertical="center"/>
    </xf>
    <xf numFmtId="0" fontId="26" fillId="0" borderId="4" xfId="7" applyFont="1" applyBorder="1" applyAlignment="1">
      <alignment horizontal="center" vertical="center"/>
    </xf>
    <xf numFmtId="9" fontId="26" fillId="0" borderId="3" xfId="7" applyNumberFormat="1" applyFont="1" applyBorder="1" applyAlignment="1">
      <alignment horizontal="center" vertical="center"/>
    </xf>
    <xf numFmtId="9" fontId="26" fillId="0" borderId="25" xfId="7" applyNumberFormat="1" applyFont="1" applyBorder="1" applyAlignment="1">
      <alignment horizontal="center" vertical="center"/>
    </xf>
    <xf numFmtId="9" fontId="26" fillId="0" borderId="4" xfId="7" applyNumberFormat="1" applyFont="1" applyBorder="1" applyAlignment="1">
      <alignment horizontal="center" vertical="center"/>
    </xf>
    <xf numFmtId="0" fontId="25" fillId="5" borderId="0" xfId="1" applyFont="1" applyFill="1" applyBorder="1" applyAlignment="1">
      <alignment wrapText="1"/>
    </xf>
    <xf numFmtId="0" fontId="25" fillId="5" borderId="0" xfId="1" applyFont="1" applyFill="1" applyBorder="1" applyAlignment="1">
      <alignment horizontal="center" vertical="top"/>
    </xf>
    <xf numFmtId="0" fontId="27" fillId="3" borderId="11" xfId="4" applyNumberFormat="1" applyFont="1" applyFill="1" applyBorder="1" applyAlignment="1" applyProtection="1">
      <alignment horizontal="left" wrapText="1"/>
    </xf>
    <xf numFmtId="164" fontId="29" fillId="3" borderId="12" xfId="3" applyNumberFormat="1" applyFont="1" applyFill="1" applyBorder="1" applyAlignment="1" applyProtection="1">
      <alignment horizontal="center" vertical="center"/>
    </xf>
    <xf numFmtId="165" fontId="26" fillId="0" borderId="4" xfId="7" applyNumberFormat="1" applyFont="1" applyBorder="1" applyAlignment="1">
      <alignment horizontal="center" vertical="center"/>
    </xf>
    <xf numFmtId="0" fontId="35" fillId="0" borderId="0" xfId="7" applyFont="1" applyFill="1" applyBorder="1"/>
    <xf numFmtId="3" fontId="36" fillId="0" borderId="0" xfId="5" applyNumberFormat="1" applyFont="1" applyFill="1" applyBorder="1" applyAlignment="1" applyProtection="1">
      <alignment horizontal="center"/>
    </xf>
    <xf numFmtId="3" fontId="36" fillId="0" borderId="0" xfId="5" applyNumberFormat="1" applyFont="1" applyFill="1" applyBorder="1" applyAlignment="1" applyProtection="1">
      <alignment horizontal="right"/>
    </xf>
    <xf numFmtId="3" fontId="37" fillId="0" borderId="0" xfId="1" applyNumberFormat="1" applyFont="1" applyFill="1" applyBorder="1" applyAlignment="1">
      <alignment horizontal="right"/>
    </xf>
    <xf numFmtId="164" fontId="29" fillId="3" borderId="9" xfId="3" applyNumberFormat="1" applyFont="1" applyFill="1" applyBorder="1" applyAlignment="1" applyProtection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0" fontId="25" fillId="5" borderId="0" xfId="1" applyFont="1" applyFill="1" applyBorder="1" applyAlignment="1">
      <alignment horizontal="center" vertical="center"/>
    </xf>
    <xf numFmtId="164" fontId="29" fillId="3" borderId="14" xfId="3" applyNumberFormat="1" applyFont="1" applyFill="1" applyBorder="1" applyAlignment="1" applyProtection="1">
      <alignment horizontal="center"/>
    </xf>
    <xf numFmtId="164" fontId="29" fillId="3" borderId="21" xfId="3" applyNumberFormat="1" applyFont="1" applyFill="1" applyBorder="1" applyAlignment="1" applyProtection="1">
      <alignment horizontal="center"/>
    </xf>
    <xf numFmtId="164" fontId="26" fillId="0" borderId="0" xfId="0" applyNumberFormat="1" applyFont="1" applyBorder="1" applyAlignment="1">
      <alignment horizontal="center" vertical="center"/>
    </xf>
    <xf numFmtId="0" fontId="27" fillId="3" borderId="0" xfId="4" applyNumberFormat="1" applyFont="1" applyFill="1" applyBorder="1" applyAlignment="1" applyProtection="1">
      <alignment horizontal="left"/>
    </xf>
    <xf numFmtId="0" fontId="25" fillId="5" borderId="0" xfId="1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5" fillId="5" borderId="0" xfId="1" applyFont="1" applyFill="1" applyBorder="1" applyAlignment="1">
      <alignment vertical="center"/>
    </xf>
    <xf numFmtId="164" fontId="29" fillId="3" borderId="14" xfId="3" applyNumberFormat="1" applyFont="1" applyFill="1" applyBorder="1" applyAlignment="1" applyProtection="1">
      <alignment horizontal="center" vertical="center"/>
    </xf>
    <xf numFmtId="164" fontId="29" fillId="3" borderId="21" xfId="3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9" fontId="26" fillId="0" borderId="0" xfId="0" applyNumberFormat="1" applyFont="1" applyBorder="1" applyAlignment="1">
      <alignment horizontal="center" vertical="center"/>
    </xf>
    <xf numFmtId="9" fontId="26" fillId="0" borderId="6" xfId="0" applyNumberFormat="1" applyFont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" vertical="center"/>
    </xf>
    <xf numFmtId="167" fontId="26" fillId="0" borderId="14" xfId="0" applyNumberFormat="1" applyFont="1" applyBorder="1" applyAlignment="1">
      <alignment horizontal="center" vertical="center"/>
    </xf>
    <xf numFmtId="167" fontId="26" fillId="0" borderId="21" xfId="0" applyNumberFormat="1" applyFont="1" applyBorder="1" applyAlignment="1">
      <alignment horizontal="center" vertical="center"/>
    </xf>
    <xf numFmtId="167" fontId="26" fillId="0" borderId="6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3" fontId="0" fillId="0" borderId="28" xfId="0" applyNumberFormat="1" applyBorder="1" applyAlignment="1">
      <alignment horizontal="center"/>
    </xf>
    <xf numFmtId="3" fontId="0" fillId="0" borderId="28" xfId="0" applyNumberFormat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166" fontId="38" fillId="0" borderId="12" xfId="0" applyNumberFormat="1" applyFont="1" applyFill="1" applyBorder="1" applyAlignment="1">
      <alignment horizontal="center" vertical="center"/>
    </xf>
    <xf numFmtId="166" fontId="38" fillId="0" borderId="1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38" fillId="0" borderId="3" xfId="7" applyFont="1" applyBorder="1" applyAlignment="1">
      <alignment horizontal="center" vertical="center"/>
    </xf>
    <xf numFmtId="9" fontId="39" fillId="0" borderId="3" xfId="7" applyNumberFormat="1" applyFont="1" applyBorder="1" applyAlignment="1">
      <alignment horizontal="center" vertical="center"/>
    </xf>
    <xf numFmtId="0" fontId="26" fillId="0" borderId="3" xfId="7" applyFont="1" applyFill="1" applyBorder="1" applyAlignment="1">
      <alignment horizontal="center" vertical="center"/>
    </xf>
    <xf numFmtId="1" fontId="34" fillId="0" borderId="4" xfId="7" applyNumberFormat="1" applyFont="1" applyFill="1" applyBorder="1" applyAlignment="1">
      <alignment horizontal="center" vertical="center"/>
    </xf>
    <xf numFmtId="0" fontId="26" fillId="0" borderId="0" xfId="7" applyFont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4" fontId="38" fillId="0" borderId="8" xfId="0" applyNumberFormat="1" applyFont="1" applyFill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horizontal="center" vertical="center"/>
    </xf>
    <xf numFmtId="9" fontId="26" fillId="0" borderId="3" xfId="0" applyNumberFormat="1" applyFont="1" applyBorder="1" applyAlignment="1">
      <alignment horizontal="center" vertical="center"/>
    </xf>
    <xf numFmtId="9" fontId="26" fillId="0" borderId="4" xfId="0" applyNumberFormat="1" applyFont="1" applyBorder="1" applyAlignment="1">
      <alignment horizontal="center" vertical="center"/>
    </xf>
    <xf numFmtId="167" fontId="26" fillId="0" borderId="3" xfId="0" applyNumberFormat="1" applyFont="1" applyBorder="1" applyAlignment="1">
      <alignment horizontal="center" vertical="center"/>
    </xf>
    <xf numFmtId="167" fontId="26" fillId="0" borderId="4" xfId="0" applyNumberFormat="1" applyFont="1" applyBorder="1" applyAlignment="1">
      <alignment horizontal="center" vertical="center"/>
    </xf>
    <xf numFmtId="164" fontId="26" fillId="0" borderId="3" xfId="0" applyNumberFormat="1" applyFont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3" fontId="26" fillId="0" borderId="3" xfId="0" applyNumberFormat="1" applyFont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0" fontId="38" fillId="3" borderId="7" xfId="4" applyNumberFormat="1" applyFont="1" applyFill="1" applyBorder="1" applyAlignment="1" applyProtection="1">
      <alignment horizontal="left" wrapText="1"/>
    </xf>
    <xf numFmtId="3" fontId="38" fillId="0" borderId="8" xfId="0" applyNumberFormat="1" applyFont="1" applyFill="1" applyBorder="1" applyAlignment="1">
      <alignment horizontal="center" vertical="center"/>
    </xf>
    <xf numFmtId="3" fontId="26" fillId="0" borderId="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0" fillId="4" borderId="15" xfId="6" applyFont="1" applyFill="1" applyBorder="1" applyAlignment="1">
      <alignment horizontal="left" vertical="center"/>
    </xf>
    <xf numFmtId="0" fontId="20" fillId="4" borderId="5" xfId="6" applyFont="1" applyFill="1" applyBorder="1" applyAlignment="1">
      <alignment horizontal="left" vertical="center"/>
    </xf>
    <xf numFmtId="0" fontId="20" fillId="4" borderId="13" xfId="6" applyFont="1" applyFill="1" applyBorder="1" applyAlignment="1">
      <alignment horizontal="left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6" xfId="0" applyNumberFormat="1" applyFont="1" applyBorder="1" applyAlignment="1">
      <alignment horizontal="center" vertical="center"/>
    </xf>
    <xf numFmtId="0" fontId="27" fillId="3" borderId="16" xfId="4" applyNumberFormat="1" applyFont="1" applyFill="1" applyBorder="1" applyAlignment="1" applyProtection="1">
      <alignment horizontal="left" vertical="top" wrapText="1"/>
    </xf>
    <xf numFmtId="0" fontId="27" fillId="3" borderId="7" xfId="4" applyNumberFormat="1" applyFont="1" applyFill="1" applyBorder="1" applyAlignment="1" applyProtection="1">
      <alignment horizontal="left" vertical="top" wrapText="1"/>
    </xf>
    <xf numFmtId="0" fontId="27" fillId="3" borderId="11" xfId="4" applyNumberFormat="1" applyFont="1" applyFill="1" applyBorder="1" applyAlignment="1" applyProtection="1">
      <alignment horizontal="left" vertical="top" wrapText="1"/>
    </xf>
    <xf numFmtId="0" fontId="26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7" fillId="3" borderId="27" xfId="4" applyNumberFormat="1" applyFont="1" applyFill="1" applyBorder="1" applyAlignment="1" applyProtection="1">
      <alignment horizontal="left" wrapText="1"/>
    </xf>
    <xf numFmtId="0" fontId="27" fillId="3" borderId="17" xfId="4" applyNumberFormat="1" applyFont="1" applyFill="1" applyBorder="1" applyAlignment="1" applyProtection="1">
      <alignment horizontal="left" wrapText="1"/>
    </xf>
    <xf numFmtId="0" fontId="27" fillId="3" borderId="1" xfId="4" applyNumberFormat="1" applyFont="1" applyFill="1" applyBorder="1" applyAlignment="1" applyProtection="1">
      <alignment horizontal="left" wrapText="1"/>
    </xf>
    <xf numFmtId="0" fontId="27" fillId="3" borderId="8" xfId="4" applyNumberFormat="1" applyFont="1" applyFill="1" applyBorder="1" applyAlignment="1" applyProtection="1">
      <alignment horizontal="left" wrapText="1"/>
    </xf>
    <xf numFmtId="0" fontId="27" fillId="3" borderId="1" xfId="4" applyNumberFormat="1" applyFont="1" applyFill="1" applyBorder="1" applyAlignment="1" applyProtection="1">
      <alignment horizontal="left" vertical="top" wrapText="1"/>
    </xf>
    <xf numFmtId="0" fontId="27" fillId="3" borderId="8" xfId="4" applyNumberFormat="1" applyFont="1" applyFill="1" applyBorder="1" applyAlignment="1" applyProtection="1">
      <alignment horizontal="left" vertical="top" wrapText="1"/>
    </xf>
    <xf numFmtId="164" fontId="29" fillId="3" borderId="0" xfId="3" applyNumberFormat="1" applyFont="1" applyFill="1" applyBorder="1" applyAlignment="1" applyProtection="1">
      <alignment horizontal="left"/>
    </xf>
    <xf numFmtId="164" fontId="29" fillId="3" borderId="8" xfId="3" applyNumberFormat="1" applyFont="1" applyFill="1" applyBorder="1" applyAlignment="1" applyProtection="1">
      <alignment horizontal="left"/>
    </xf>
    <xf numFmtId="164" fontId="29" fillId="3" borderId="21" xfId="3" applyNumberFormat="1" applyFont="1" applyFill="1" applyBorder="1" applyAlignment="1" applyProtection="1">
      <alignment horizontal="left"/>
    </xf>
    <xf numFmtId="164" fontId="29" fillId="3" borderId="10" xfId="3" applyNumberFormat="1" applyFont="1" applyFill="1" applyBorder="1" applyAlignment="1" applyProtection="1">
      <alignment horizontal="left"/>
    </xf>
    <xf numFmtId="0" fontId="27" fillId="3" borderId="26" xfId="4" applyNumberFormat="1" applyFont="1" applyFill="1" applyBorder="1" applyAlignment="1" applyProtection="1">
      <alignment horizontal="left" wrapText="1"/>
    </xf>
    <xf numFmtId="0" fontId="27" fillId="3" borderId="10" xfId="4" applyNumberFormat="1" applyFont="1" applyFill="1" applyBorder="1" applyAlignment="1" applyProtection="1">
      <alignment horizontal="left" wrapText="1"/>
    </xf>
    <xf numFmtId="2" fontId="26" fillId="0" borderId="8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38" fillId="0" borderId="8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0" fontId="35" fillId="0" borderId="0" xfId="7" applyFont="1" applyFill="1" applyBorder="1" applyAlignment="1">
      <alignment wrapText="1"/>
    </xf>
    <xf numFmtId="0" fontId="31" fillId="0" borderId="0" xfId="0" applyFont="1" applyAlignment="1">
      <alignment wrapText="1"/>
    </xf>
  </cellXfs>
  <cellStyles count="8">
    <cellStyle name="fa_column_header_empty" xfId="2"/>
    <cellStyle name="fa_data_standard_0_grouped" xfId="5"/>
    <cellStyle name="fa_row_header_bold 2" xfId="4"/>
    <cellStyle name="fa_row_header_standard 2" xfId="3"/>
    <cellStyle name="Гиперссылка" xfId="6" builtinId="8"/>
    <cellStyle name="Обычный" xfId="0" builtinId="0"/>
    <cellStyle name="Обычный 2" xfId="1"/>
    <cellStyle name="Обычный 3" xfId="7"/>
  </cellStyles>
  <dxfs count="0"/>
  <tableStyles count="0" defaultTableStyle="TableStyleMedium2" defaultPivotStyle="PivotStyleLight16"/>
  <colors>
    <mruColors>
      <color rgb="FF5B9BD5"/>
      <color rgb="FF2176C3"/>
      <color rgb="FF2175C1"/>
      <color rgb="FF0099FF"/>
      <color rgb="FF207DCF"/>
      <color rgb="FF336699"/>
      <color rgb="FF6D94C3"/>
      <color rgb="FF0099CC"/>
      <color rgb="FF3399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142875</xdr:rowOff>
    </xdr:from>
    <xdr:to>
      <xdr:col>11</xdr:col>
      <xdr:colOff>152400</xdr:colOff>
      <xdr:row>6</xdr:row>
      <xdr:rowOff>19050</xdr:rowOff>
    </xdr:to>
    <xdr:pic>
      <xdr:nvPicPr>
        <xdr:cNvPr id="3" name="Рисунок 2" descr="https://www.phosagro.ru/bitrix/templates/main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142875"/>
          <a:ext cx="120015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33844</xdr:rowOff>
    </xdr:from>
    <xdr:to>
      <xdr:col>2</xdr:col>
      <xdr:colOff>675458</xdr:colOff>
      <xdr:row>3</xdr:row>
      <xdr:rowOff>13304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100519"/>
          <a:ext cx="838685" cy="559243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  <xdr:twoCellAnchor editAs="oneCell">
    <xdr:from>
      <xdr:col>0</xdr:col>
      <xdr:colOff>57979</xdr:colOff>
      <xdr:row>0</xdr:row>
      <xdr:rowOff>0</xdr:rowOff>
    </xdr:from>
    <xdr:to>
      <xdr:col>0</xdr:col>
      <xdr:colOff>795130</xdr:colOff>
      <xdr:row>3</xdr:row>
      <xdr:rowOff>140803</xdr:rowOff>
    </xdr:to>
    <xdr:pic>
      <xdr:nvPicPr>
        <xdr:cNvPr id="4" name="Рисунок 3" descr="https://www.phosagro.ru/bitrix/templates/main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9" y="0"/>
          <a:ext cx="737151" cy="737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2</xdr:col>
      <xdr:colOff>675458</xdr:colOff>
      <xdr:row>2</xdr:row>
      <xdr:rowOff>196976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33844"/>
          <a:ext cx="5005251" cy="579535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  <xdr:twoCellAnchor editAs="oneCell">
    <xdr:from>
      <xdr:col>0</xdr:col>
      <xdr:colOff>74543</xdr:colOff>
      <xdr:row>1</xdr:row>
      <xdr:rowOff>8282</xdr:rowOff>
    </xdr:from>
    <xdr:to>
      <xdr:col>0</xdr:col>
      <xdr:colOff>811694</xdr:colOff>
      <xdr:row>4</xdr:row>
      <xdr:rowOff>149085</xdr:rowOff>
    </xdr:to>
    <xdr:pic>
      <xdr:nvPicPr>
        <xdr:cNvPr id="4" name="Рисунок 3" descr="https://www.phosagro.ru/bitrix/templates/main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3" y="18820157"/>
          <a:ext cx="737151" cy="740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13607</xdr:colOff>
      <xdr:row>60</xdr:row>
      <xdr:rowOff>0</xdr:rowOff>
    </xdr:from>
    <xdr:ext cx="5008715" cy="585596"/>
    <xdr:pic>
      <xdr:nvPicPr>
        <xdr:cNvPr id="5" name="Рисунок 4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5008715" cy="585596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67502</xdr:colOff>
      <xdr:row>0</xdr:row>
      <xdr:rowOff>0</xdr:rowOff>
    </xdr:from>
    <xdr:to>
      <xdr:col>0</xdr:col>
      <xdr:colOff>804653</xdr:colOff>
      <xdr:row>3</xdr:row>
      <xdr:rowOff>121753</xdr:rowOff>
    </xdr:to>
    <xdr:pic>
      <xdr:nvPicPr>
        <xdr:cNvPr id="3" name="Рисунок 2" descr="https://www.phosagro.ru/bitrix/templates/main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2" y="0"/>
          <a:ext cx="737151" cy="740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57979</xdr:colOff>
      <xdr:row>21</xdr:row>
      <xdr:rowOff>24848</xdr:rowOff>
    </xdr:from>
    <xdr:to>
      <xdr:col>0</xdr:col>
      <xdr:colOff>795130</xdr:colOff>
      <xdr:row>24</xdr:row>
      <xdr:rowOff>165652</xdr:rowOff>
    </xdr:to>
    <xdr:pic>
      <xdr:nvPicPr>
        <xdr:cNvPr id="4" name="Рисунок 3" descr="https://www.phosagro.ru/bitrix/templates/main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9" y="5193196"/>
          <a:ext cx="737151" cy="737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11206</xdr:rowOff>
    </xdr:from>
    <xdr:to>
      <xdr:col>0</xdr:col>
      <xdr:colOff>826798</xdr:colOff>
      <xdr:row>3</xdr:row>
      <xdr:rowOff>145605</xdr:rowOff>
    </xdr:to>
    <xdr:pic>
      <xdr:nvPicPr>
        <xdr:cNvPr id="4" name="Рисунок 3" descr="https://www.phosagro.ru/bitrix/templates/main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11206"/>
          <a:ext cx="737151" cy="739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phosagro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M22"/>
  <sheetViews>
    <sheetView tabSelected="1" zoomScaleNormal="100" zoomScaleSheetLayoutView="55" workbookViewId="0">
      <selection activeCell="C11" sqref="C11:G11"/>
    </sheetView>
  </sheetViews>
  <sheetFormatPr defaultColWidth="9.109375" defaultRowHeight="13.2"/>
  <cols>
    <col min="1" max="1" width="2.5546875" style="1" customWidth="1"/>
    <col min="2" max="2" width="5.44140625" style="1" customWidth="1"/>
    <col min="3" max="4" width="9.109375" style="1"/>
    <col min="5" max="5" width="9.5546875" style="1" customWidth="1"/>
    <col min="6" max="15" width="9.109375" style="1"/>
    <col min="16" max="16" width="15.6640625" style="1" customWidth="1"/>
    <col min="17" max="17" width="2.5546875" style="1" customWidth="1"/>
    <col min="18" max="16384" width="9.109375" style="1"/>
  </cols>
  <sheetData>
    <row r="1" spans="2:13" ht="14.25" customHeight="1"/>
    <row r="3" spans="2:13" ht="22.8">
      <c r="B3" s="22" t="s">
        <v>44</v>
      </c>
    </row>
    <row r="4" spans="2:13" ht="22.8">
      <c r="B4" s="22" t="s">
        <v>45</v>
      </c>
    </row>
    <row r="6" spans="2:13" ht="15">
      <c r="B6" s="20"/>
    </row>
    <row r="7" spans="2:13">
      <c r="B7" s="16"/>
    </row>
    <row r="8" spans="2:13" ht="15">
      <c r="B8" s="17"/>
      <c r="C8" s="15" t="s">
        <v>42</v>
      </c>
    </row>
    <row r="9" spans="2:13" ht="15">
      <c r="B9" s="18"/>
      <c r="C9" s="160" t="s">
        <v>39</v>
      </c>
      <c r="D9" s="161"/>
      <c r="E9" s="161"/>
      <c r="F9" s="161"/>
      <c r="G9" s="162"/>
      <c r="J9" s="23"/>
    </row>
    <row r="10" spans="2:13" ht="15">
      <c r="B10" s="18"/>
      <c r="J10" s="23"/>
    </row>
    <row r="11" spans="2:13" ht="15">
      <c r="B11" s="18"/>
      <c r="C11" s="160" t="s">
        <v>154</v>
      </c>
      <c r="D11" s="161"/>
      <c r="E11" s="161"/>
      <c r="F11" s="161"/>
      <c r="G11" s="162"/>
      <c r="J11" s="23"/>
    </row>
    <row r="12" spans="2:13">
      <c r="B12" s="13"/>
    </row>
    <row r="13" spans="2:13" ht="15">
      <c r="B13" s="13"/>
      <c r="C13" s="160" t="s">
        <v>40</v>
      </c>
      <c r="D13" s="161"/>
      <c r="E13" s="161"/>
      <c r="F13" s="161"/>
      <c r="G13" s="162"/>
    </row>
    <row r="15" spans="2:13" ht="15.6">
      <c r="B15" s="15"/>
      <c r="C15" s="26" t="s">
        <v>41</v>
      </c>
      <c r="D15" s="27"/>
      <c r="E15" s="27"/>
      <c r="F15" s="27"/>
      <c r="G15" s="28"/>
      <c r="H15" s="12"/>
      <c r="M15"/>
    </row>
    <row r="16" spans="2:13" ht="15">
      <c r="B16" s="11"/>
      <c r="C16" s="13"/>
      <c r="D16" s="13"/>
      <c r="E16" s="13"/>
      <c r="F16" s="13"/>
      <c r="G16" s="13"/>
    </row>
    <row r="17" spans="2:7" ht="15">
      <c r="B17" s="11"/>
      <c r="C17" s="13"/>
      <c r="D17" s="13"/>
      <c r="E17" s="13"/>
      <c r="F17" s="13"/>
      <c r="G17" s="13"/>
    </row>
    <row r="18" spans="2:7">
      <c r="D18" s="13"/>
      <c r="E18" s="13"/>
      <c r="F18" s="13"/>
      <c r="G18" s="13"/>
    </row>
    <row r="19" spans="2:7" ht="15.6">
      <c r="C19" s="24" t="s">
        <v>46</v>
      </c>
      <c r="D19" s="19"/>
      <c r="E19" s="19"/>
      <c r="F19" s="14"/>
      <c r="G19" s="14"/>
    </row>
    <row r="20" spans="2:7" ht="15">
      <c r="C20" s="23" t="s">
        <v>48</v>
      </c>
      <c r="D20" s="21"/>
      <c r="E20" s="21"/>
      <c r="F20" s="13"/>
      <c r="G20" s="13"/>
    </row>
    <row r="21" spans="2:7" ht="13.8">
      <c r="C21" s="25" t="s">
        <v>47</v>
      </c>
      <c r="D21" s="13"/>
      <c r="E21" s="13"/>
      <c r="F21" s="13"/>
      <c r="G21" s="13"/>
    </row>
    <row r="22" spans="2:7">
      <c r="D22" s="13"/>
      <c r="E22" s="13"/>
      <c r="F22" s="13"/>
      <c r="G22" s="13"/>
    </row>
  </sheetData>
  <mergeCells count="3">
    <mergeCell ref="C9:G9"/>
    <mergeCell ref="C13:G13"/>
    <mergeCell ref="C11:G11"/>
  </mergeCells>
  <hyperlinks>
    <hyperlink ref="C15" location="'Stock charts'!A1" display="STOCK CHARTS"/>
    <hyperlink ref="C9" location="'Summary result '!A1" display="SUMMARY RESULT"/>
    <hyperlink ref="C13" location="'Price performance'!A1" display="PRICE PERFORMANCE"/>
    <hyperlink ref="C9:E9" location="ЭКОЛОГИЯ!A1" display="ENVIRONMENT"/>
    <hyperlink ref="C13:E13" location="'СОЦИАЛЬНАЯ ОТВЕТСТВЕННОСТЬ'!A1" display="SOCIAL"/>
    <hyperlink ref="C15:E15" location="'КОРПОРАТИВНОЕ УПРАВЛЕНИЕ'!A1" display="GOVERNANCE"/>
    <hyperlink ref="C21" r:id="rId1"/>
    <hyperlink ref="C11" location="'Summary result '!A1" display="SUMMARY RESULT"/>
    <hyperlink ref="C11:E11" location="ЭКОЛОГИЯ!A1" display="ENVIRONMENT"/>
    <hyperlink ref="C11:G11" location="ЭНЕРГОЭФФЕКТИВНОСТЬ!A1" display="ЭНЕРГОЭФФЕКТИВНОСТЬ"/>
  </hyperlinks>
  <pageMargins left="0.7" right="0.7" top="0.75" bottom="0.75" header="0.3" footer="0.3"/>
  <pageSetup paperSize="9" scale="3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91"/>
  <sheetViews>
    <sheetView showGridLines="0" topLeftCell="A70" zoomScaleNormal="100" zoomScaleSheetLayoutView="85" workbookViewId="0">
      <selection activeCell="L24" sqref="L24"/>
    </sheetView>
  </sheetViews>
  <sheetFormatPr defaultRowHeight="14.4"/>
  <cols>
    <col min="1" max="1" width="47.88671875" bestFit="1" customWidth="1"/>
    <col min="2" max="2" width="17.33203125" customWidth="1"/>
    <col min="3" max="3" width="12.88671875" customWidth="1"/>
    <col min="4" max="4" width="14.33203125" customWidth="1"/>
    <col min="5" max="5" width="12.88671875" customWidth="1"/>
    <col min="6" max="6" width="14.33203125" customWidth="1"/>
    <col min="7" max="8" width="12.88671875" customWidth="1"/>
    <col min="9" max="9" width="14.44140625" customWidth="1"/>
    <col min="10" max="10" width="12.88671875" bestFit="1" customWidth="1"/>
    <col min="11" max="11" width="14.6640625" customWidth="1"/>
  </cols>
  <sheetData>
    <row r="1" spans="1:1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6">
      <c r="A2" s="74" t="s">
        <v>25</v>
      </c>
      <c r="B2" s="29"/>
      <c r="C2" s="29"/>
      <c r="D2" s="29"/>
      <c r="E2" s="29"/>
      <c r="F2" s="29"/>
      <c r="G2" s="29"/>
      <c r="H2" s="29"/>
      <c r="I2" s="29"/>
      <c r="J2" s="3"/>
      <c r="K2" s="3"/>
    </row>
    <row r="3" spans="1:1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>
      <c r="A5" s="30" t="s">
        <v>68</v>
      </c>
      <c r="B5" s="44" t="s">
        <v>3</v>
      </c>
      <c r="C5" s="41">
        <v>2013</v>
      </c>
      <c r="D5" s="41">
        <v>2014</v>
      </c>
      <c r="E5" s="41">
        <v>2015</v>
      </c>
      <c r="F5" s="41">
        <v>2016</v>
      </c>
      <c r="G5" s="41">
        <v>2017</v>
      </c>
      <c r="H5" s="41">
        <v>2018</v>
      </c>
      <c r="I5" s="119">
        <v>2019</v>
      </c>
      <c r="J5" s="41" t="s">
        <v>78</v>
      </c>
      <c r="K5" s="2"/>
    </row>
    <row r="6" spans="1:11">
      <c r="A6" s="31" t="s">
        <v>71</v>
      </c>
      <c r="B6" s="35" t="s">
        <v>76</v>
      </c>
      <c r="C6" s="37">
        <v>1.3338224696566123</v>
      </c>
      <c r="D6" s="37">
        <v>1.2131776748884397</v>
      </c>
      <c r="E6" s="37">
        <v>1.2052215614417767</v>
      </c>
      <c r="F6" s="37">
        <v>1.1643115971507914</v>
      </c>
      <c r="G6" s="37">
        <v>1.1311721586944072</v>
      </c>
      <c r="H6" s="43">
        <v>1.0484901291066027</v>
      </c>
      <c r="I6" s="38">
        <v>0.88800000000000001</v>
      </c>
      <c r="J6" s="137">
        <v>0.8</v>
      </c>
      <c r="K6" s="2"/>
    </row>
    <row r="7" spans="1:11">
      <c r="A7" s="32" t="s">
        <v>50</v>
      </c>
      <c r="B7" s="35" t="s">
        <v>76</v>
      </c>
      <c r="C7" s="37">
        <v>1.4294478832280333</v>
      </c>
      <c r="D7" s="37">
        <v>1.4345488374505038</v>
      </c>
      <c r="E7" s="37">
        <v>1.3247797647279242</v>
      </c>
      <c r="F7" s="37">
        <v>1.2135613638696203</v>
      </c>
      <c r="G7" s="37">
        <v>1.0565546823764136</v>
      </c>
      <c r="H7" s="43">
        <v>1.0602180152130962</v>
      </c>
      <c r="I7" s="38">
        <v>0.79300000000000004</v>
      </c>
      <c r="J7" s="2"/>
      <c r="K7" s="2"/>
    </row>
    <row r="8" spans="1:11">
      <c r="A8" s="32" t="s">
        <v>49</v>
      </c>
      <c r="B8" s="35" t="s">
        <v>76</v>
      </c>
      <c r="C8" s="37">
        <v>1.2556664394868762</v>
      </c>
      <c r="D8" s="37">
        <v>1.1150725695973982</v>
      </c>
      <c r="E8" s="37">
        <v>1.0126853752207472</v>
      </c>
      <c r="F8" s="37">
        <v>1.0876446008411487</v>
      </c>
      <c r="G8" s="37">
        <v>1.3269983414561004</v>
      </c>
      <c r="H8" s="43">
        <v>1.2514266324286705</v>
      </c>
      <c r="I8" s="38">
        <v>1.177</v>
      </c>
      <c r="J8" s="2"/>
      <c r="K8" s="2"/>
    </row>
    <row r="9" spans="1:11">
      <c r="A9" s="31" t="s">
        <v>51</v>
      </c>
      <c r="B9" s="35" t="s">
        <v>76</v>
      </c>
      <c r="C9" s="37">
        <v>4.0083442492994603</v>
      </c>
      <c r="D9" s="37">
        <v>3.2219796079462348</v>
      </c>
      <c r="E9" s="37">
        <v>1.7783217461569587</v>
      </c>
      <c r="F9" s="37">
        <v>2.618529289341839</v>
      </c>
      <c r="G9" s="37">
        <v>2.5064916461030791</v>
      </c>
      <c r="H9" s="43">
        <v>1.8647957214903015</v>
      </c>
      <c r="I9" s="38">
        <v>1.89</v>
      </c>
      <c r="J9" s="2"/>
      <c r="K9" s="2"/>
    </row>
    <row r="10" spans="1:11">
      <c r="A10" s="32" t="s">
        <v>72</v>
      </c>
      <c r="B10" s="35" t="s">
        <v>76</v>
      </c>
      <c r="C10" s="37">
        <v>1.1582979041086345</v>
      </c>
      <c r="D10" s="37">
        <v>0.96681874159603165</v>
      </c>
      <c r="E10" s="37">
        <v>1.1573901624528526</v>
      </c>
      <c r="F10" s="37">
        <v>1.0887956691750571</v>
      </c>
      <c r="G10" s="37">
        <v>1.046790051414676</v>
      </c>
      <c r="H10" s="43">
        <v>0.916342138906591</v>
      </c>
      <c r="I10" s="38">
        <v>0.80300000000000005</v>
      </c>
      <c r="J10" s="2"/>
      <c r="K10" s="2"/>
    </row>
    <row r="11" spans="1:11">
      <c r="A11" s="32" t="s">
        <v>73</v>
      </c>
      <c r="B11" s="35" t="s">
        <v>75</v>
      </c>
      <c r="C11" s="37">
        <v>1.5096469692354553</v>
      </c>
      <c r="D11" s="37">
        <v>1.4986664586583462</v>
      </c>
      <c r="E11" s="37">
        <v>1.8434731769996786</v>
      </c>
      <c r="F11" s="37">
        <v>2.1707547304534094</v>
      </c>
      <c r="G11" s="37">
        <v>1.9921891891891892</v>
      </c>
      <c r="H11" s="43">
        <v>1.558289551437013</v>
      </c>
      <c r="I11" s="38">
        <f>4717.9/I89</f>
        <v>1.2308635533524654</v>
      </c>
      <c r="K11" s="2"/>
    </row>
    <row r="12" spans="1:11">
      <c r="A12" s="33" t="s">
        <v>74</v>
      </c>
      <c r="B12" s="36" t="s">
        <v>75</v>
      </c>
      <c r="C12" s="39">
        <v>3.9846356990557417</v>
      </c>
      <c r="D12" s="39">
        <v>2.8555653666146643</v>
      </c>
      <c r="E12" s="39">
        <v>3.3229701252810795</v>
      </c>
      <c r="F12" s="39">
        <v>3.8040060692609781</v>
      </c>
      <c r="G12" s="39">
        <v>3.6803413770913775</v>
      </c>
      <c r="H12" s="39">
        <v>3.0514431909750197</v>
      </c>
      <c r="I12" s="40">
        <f>11211.1/I89</f>
        <v>2.9248891207931127</v>
      </c>
      <c r="J12" s="2"/>
      <c r="K12" s="2"/>
    </row>
    <row r="13" spans="1:11">
      <c r="A13" s="2"/>
      <c r="B13" s="2"/>
      <c r="C13" s="2"/>
      <c r="D13" s="37"/>
      <c r="E13" s="37"/>
      <c r="F13" s="37"/>
      <c r="G13" s="37"/>
      <c r="H13" s="37"/>
      <c r="I13" s="2"/>
      <c r="J13" s="2"/>
      <c r="K13" s="2"/>
    </row>
    <row r="14" spans="1:11">
      <c r="A14" s="30" t="s">
        <v>77</v>
      </c>
      <c r="B14" s="44" t="s">
        <v>3</v>
      </c>
      <c r="C14" s="41">
        <v>2013</v>
      </c>
      <c r="D14" s="41">
        <v>2014</v>
      </c>
      <c r="E14" s="41">
        <v>2015</v>
      </c>
      <c r="F14" s="41">
        <v>2016</v>
      </c>
      <c r="G14" s="41">
        <v>2017</v>
      </c>
      <c r="H14" s="119">
        <v>2018</v>
      </c>
      <c r="I14" s="41">
        <v>2019</v>
      </c>
      <c r="J14" s="2"/>
      <c r="K14" s="2"/>
    </row>
    <row r="15" spans="1:11">
      <c r="A15" s="31" t="s">
        <v>71</v>
      </c>
      <c r="B15" s="35" t="s">
        <v>157</v>
      </c>
      <c r="C15" s="37">
        <v>9.3574210162704539</v>
      </c>
      <c r="D15" s="37">
        <v>9.2723821255896564</v>
      </c>
      <c r="E15" s="37">
        <v>8.9159275810427339</v>
      </c>
      <c r="F15" s="37">
        <v>8.5894138013533166</v>
      </c>
      <c r="G15" s="37">
        <v>8.1413063049243615</v>
      </c>
      <c r="H15" s="43">
        <v>6.9547795303920266</v>
      </c>
      <c r="I15" s="38">
        <v>5.8490000000000002</v>
      </c>
      <c r="J15" s="2"/>
      <c r="K15" s="2"/>
    </row>
    <row r="16" spans="1:11">
      <c r="A16" s="32" t="s">
        <v>50</v>
      </c>
      <c r="B16" s="35" t="s">
        <v>157</v>
      </c>
      <c r="C16" s="37">
        <v>20.619487364274882</v>
      </c>
      <c r="D16" s="37">
        <v>21.422850015218525</v>
      </c>
      <c r="E16" s="37">
        <v>21.056412609288756</v>
      </c>
      <c r="F16" s="37">
        <v>20.187135404368014</v>
      </c>
      <c r="G16" s="37">
        <v>18.870997021782571</v>
      </c>
      <c r="H16" s="43">
        <v>15.894318088711781</v>
      </c>
      <c r="I16" s="38">
        <f>154404/I82</f>
        <v>13.274028447853</v>
      </c>
      <c r="J16" s="2"/>
      <c r="K16" s="2"/>
    </row>
    <row r="17" spans="1:11">
      <c r="A17" s="32" t="s">
        <v>49</v>
      </c>
      <c r="B17" s="35" t="s">
        <v>157</v>
      </c>
      <c r="C17" s="37">
        <v>1.5748224211307496</v>
      </c>
      <c r="D17" s="37">
        <v>1.5296778948196355</v>
      </c>
      <c r="E17" s="37">
        <v>1.5358619028395704</v>
      </c>
      <c r="F17" s="37">
        <v>1.457682379203201</v>
      </c>
      <c r="G17" s="37">
        <v>1.450298792307197</v>
      </c>
      <c r="H17" s="43">
        <v>1.4303212133962206</v>
      </c>
      <c r="I17" s="38">
        <f>8498/I83</f>
        <v>1.4281102204645573</v>
      </c>
      <c r="J17" s="2"/>
      <c r="K17" s="2"/>
    </row>
    <row r="18" spans="1:11">
      <c r="A18" s="31" t="s">
        <v>51</v>
      </c>
      <c r="B18" s="35" t="s">
        <v>157</v>
      </c>
      <c r="C18" s="37">
        <v>7.0126890327403606</v>
      </c>
      <c r="D18" s="37">
        <v>6.4127222214594424</v>
      </c>
      <c r="E18" s="37">
        <v>4.8986084356589199</v>
      </c>
      <c r="F18" s="37">
        <v>4.5267586638511075</v>
      </c>
      <c r="G18" s="37">
        <v>4.5122464633128541</v>
      </c>
      <c r="H18" s="43">
        <v>3.3817300705387803</v>
      </c>
      <c r="I18" s="38">
        <f>2339/I84</f>
        <v>3.8050318593739609</v>
      </c>
      <c r="J18" s="2"/>
      <c r="K18" s="2"/>
    </row>
    <row r="19" spans="1:11">
      <c r="A19" s="33" t="s">
        <v>72</v>
      </c>
      <c r="B19" s="36" t="s">
        <v>157</v>
      </c>
      <c r="C19" s="39">
        <v>2.2163637109202181</v>
      </c>
      <c r="D19" s="39">
        <v>2.1298778052021925</v>
      </c>
      <c r="E19" s="39">
        <v>1.9565375306065855</v>
      </c>
      <c r="F19" s="39">
        <v>1.9465384181275196</v>
      </c>
      <c r="G19" s="39">
        <v>2.0691579473200226</v>
      </c>
      <c r="H19" s="39">
        <v>2.1324165947826077</v>
      </c>
      <c r="I19" s="40">
        <f>33863/I85</f>
        <v>2.3676119401094176</v>
      </c>
      <c r="J19" s="2"/>
      <c r="K19" s="2"/>
    </row>
    <row r="20" spans="1:11">
      <c r="A20" s="2"/>
      <c r="B20" s="2"/>
      <c r="C20" s="2"/>
      <c r="D20" s="37"/>
      <c r="E20" s="37"/>
      <c r="F20" s="37"/>
      <c r="G20" s="37"/>
      <c r="H20" s="37"/>
      <c r="I20" s="2"/>
      <c r="J20" s="2"/>
      <c r="K20" s="2"/>
    </row>
    <row r="21" spans="1:11">
      <c r="A21" s="30" t="s">
        <v>79</v>
      </c>
      <c r="B21" s="44" t="s">
        <v>3</v>
      </c>
      <c r="C21" s="41">
        <v>2013</v>
      </c>
      <c r="D21" s="41">
        <v>2014</v>
      </c>
      <c r="E21" s="41">
        <v>2015</v>
      </c>
      <c r="F21" s="41">
        <v>2016</v>
      </c>
      <c r="G21" s="41">
        <v>2017</v>
      </c>
      <c r="H21" s="41">
        <v>2018</v>
      </c>
      <c r="I21" s="119">
        <v>2019</v>
      </c>
      <c r="J21" s="41" t="s">
        <v>78</v>
      </c>
      <c r="K21" s="2"/>
    </row>
    <row r="22" spans="1:11">
      <c r="A22" s="31" t="s">
        <v>71</v>
      </c>
      <c r="B22" s="35" t="s">
        <v>157</v>
      </c>
      <c r="C22" s="37">
        <v>8.2619356639728494</v>
      </c>
      <c r="D22" s="37">
        <v>8.1133866752770398</v>
      </c>
      <c r="E22" s="37">
        <v>7.8585094356514551</v>
      </c>
      <c r="F22" s="37">
        <v>7.7658573922197434</v>
      </c>
      <c r="G22" s="37">
        <v>7.4761683405007178</v>
      </c>
      <c r="H22" s="37">
        <v>6.0394382714564756</v>
      </c>
      <c r="I22" s="38">
        <v>4.6840000000000002</v>
      </c>
      <c r="J22" s="136">
        <v>4.4000000000000004</v>
      </c>
      <c r="K22" s="2"/>
    </row>
    <row r="23" spans="1:11">
      <c r="A23" s="32" t="s">
        <v>50</v>
      </c>
      <c r="B23" s="35" t="s">
        <v>157</v>
      </c>
      <c r="C23" s="37">
        <v>19.969893464116829</v>
      </c>
      <c r="D23" s="37">
        <v>20.814459281835184</v>
      </c>
      <c r="E23" s="37">
        <v>20.365531838964699</v>
      </c>
      <c r="F23" s="37">
        <v>20.028109179975658</v>
      </c>
      <c r="G23" s="37">
        <v>19.048797306217672</v>
      </c>
      <c r="H23" s="37">
        <v>15.625449193063769</v>
      </c>
      <c r="I23" s="144">
        <v>11.811</v>
      </c>
      <c r="J23" s="2"/>
      <c r="K23" s="2"/>
    </row>
    <row r="24" spans="1:11">
      <c r="A24" s="32" t="s">
        <v>49</v>
      </c>
      <c r="B24" s="35" t="s">
        <v>157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144">
        <v>0</v>
      </c>
      <c r="J24" s="2"/>
      <c r="K24" s="2"/>
    </row>
    <row r="25" spans="1:11">
      <c r="A25" s="31" t="s">
        <v>51</v>
      </c>
      <c r="B25" s="35" t="s">
        <v>157</v>
      </c>
      <c r="C25" s="37">
        <v>2.8164903327192423</v>
      </c>
      <c r="D25" s="37">
        <v>2.0031696163395725</v>
      </c>
      <c r="E25" s="37">
        <v>2.2062396270490314</v>
      </c>
      <c r="F25" s="37">
        <v>2.2619146817522995</v>
      </c>
      <c r="G25" s="37">
        <v>1.6189570948987391</v>
      </c>
      <c r="H25" s="37">
        <v>0.21556612988176033</v>
      </c>
      <c r="I25" s="144">
        <v>0</v>
      </c>
      <c r="J25" s="2"/>
      <c r="K25" s="2"/>
    </row>
    <row r="26" spans="1:11">
      <c r="A26" s="33" t="s">
        <v>72</v>
      </c>
      <c r="B26" s="36" t="s">
        <v>157</v>
      </c>
      <c r="C26" s="39">
        <v>1.0508459154774681</v>
      </c>
      <c r="D26" s="39">
        <v>0.80269167273155106</v>
      </c>
      <c r="E26" s="39">
        <v>0.88014229413561063</v>
      </c>
      <c r="F26" s="39">
        <v>0.90047818992888562</v>
      </c>
      <c r="G26" s="39">
        <v>1.1285946880475648</v>
      </c>
      <c r="H26" s="39">
        <v>1.0117574559897242</v>
      </c>
      <c r="I26" s="145">
        <v>1.0369999999999999</v>
      </c>
      <c r="J26" s="2"/>
      <c r="K26" s="2"/>
    </row>
    <row r="27" spans="1:11">
      <c r="A27" s="118"/>
      <c r="B27" s="34"/>
      <c r="C27" s="43"/>
      <c r="D27" s="43"/>
      <c r="E27" s="43"/>
      <c r="F27" s="43"/>
      <c r="G27" s="43"/>
      <c r="H27" s="43"/>
      <c r="I27" s="43"/>
      <c r="J27" s="2"/>
      <c r="K27" s="2"/>
    </row>
    <row r="28" spans="1:11">
      <c r="A28" s="30" t="s">
        <v>80</v>
      </c>
      <c r="B28" s="44" t="s">
        <v>3</v>
      </c>
      <c r="C28" s="41">
        <v>2013</v>
      </c>
      <c r="D28" s="41">
        <v>2014</v>
      </c>
      <c r="E28" s="41">
        <v>2015</v>
      </c>
      <c r="F28" s="41">
        <v>2016</v>
      </c>
      <c r="G28" s="41">
        <v>2017</v>
      </c>
      <c r="H28" s="41">
        <v>2018</v>
      </c>
      <c r="I28" s="119">
        <v>2019</v>
      </c>
      <c r="J28" s="2"/>
      <c r="K28" s="2"/>
    </row>
    <row r="29" spans="1:11">
      <c r="A29" s="31" t="s">
        <v>71</v>
      </c>
      <c r="B29" s="35" t="s">
        <v>76</v>
      </c>
      <c r="C29" s="37">
        <v>3.6841001703429406</v>
      </c>
      <c r="D29" s="37">
        <v>3.3007890202572363</v>
      </c>
      <c r="E29" s="37">
        <v>3.255374997839604</v>
      </c>
      <c r="F29" s="37">
        <v>1.2574540115312103</v>
      </c>
      <c r="G29" s="37">
        <v>1.0308684823907817</v>
      </c>
      <c r="H29" s="37">
        <v>0.77244378354818455</v>
      </c>
      <c r="I29" s="38">
        <v>0.61399999999999999</v>
      </c>
      <c r="J29" s="2"/>
      <c r="K29" s="2"/>
    </row>
    <row r="30" spans="1:11">
      <c r="A30" s="32" t="s">
        <v>50</v>
      </c>
      <c r="B30" s="35" t="s">
        <v>76</v>
      </c>
      <c r="C30" s="37">
        <v>8.0732874944347142</v>
      </c>
      <c r="D30" s="37">
        <v>8.0742264686358496</v>
      </c>
      <c r="E30" s="37">
        <v>7.9864824279174611</v>
      </c>
      <c r="F30" s="37">
        <v>2.4419444828935584</v>
      </c>
      <c r="G30" s="37">
        <v>1.9224436209489029</v>
      </c>
      <c r="H30" s="37">
        <v>1.482977208425911</v>
      </c>
      <c r="I30" s="38">
        <v>1.0680000000000001</v>
      </c>
      <c r="J30" s="2"/>
      <c r="K30" s="2"/>
    </row>
    <row r="31" spans="1:11">
      <c r="A31" s="32" t="s">
        <v>49</v>
      </c>
      <c r="B31" s="35" t="s">
        <v>76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2"/>
      <c r="K31" s="2"/>
    </row>
    <row r="32" spans="1:11">
      <c r="A32" s="31" t="s">
        <v>51</v>
      </c>
      <c r="B32" s="35" t="s">
        <v>76</v>
      </c>
      <c r="C32" s="37">
        <v>10.316387565532365</v>
      </c>
      <c r="D32" s="37">
        <v>2.8945651276028297</v>
      </c>
      <c r="E32" s="37">
        <v>5.4145683994621363</v>
      </c>
      <c r="F32" s="37">
        <v>4.4652037714346102</v>
      </c>
      <c r="G32" s="37">
        <v>2.7222643952218042</v>
      </c>
      <c r="H32" s="37">
        <v>0.2713355496307181</v>
      </c>
      <c r="I32" s="38">
        <v>0</v>
      </c>
      <c r="J32" s="2"/>
      <c r="K32" s="2"/>
    </row>
    <row r="33" spans="1:11">
      <c r="A33" s="33" t="s">
        <v>72</v>
      </c>
      <c r="B33" s="36" t="s">
        <v>76</v>
      </c>
      <c r="C33" s="39">
        <v>0.86141653308469812</v>
      </c>
      <c r="D33" s="39">
        <v>0.5786921631811327</v>
      </c>
      <c r="E33" s="39">
        <v>0.51580943207340613</v>
      </c>
      <c r="F33" s="39">
        <v>0.65027647445741699</v>
      </c>
      <c r="G33" s="39">
        <v>0.6414537868811947</v>
      </c>
      <c r="H33" s="39">
        <v>0.53640979709489567</v>
      </c>
      <c r="I33" s="40">
        <v>0.52700000000000002</v>
      </c>
      <c r="J33" s="2"/>
      <c r="K33" s="2"/>
    </row>
    <row r="34" spans="1:11">
      <c r="A34" s="2"/>
      <c r="B34" s="2"/>
      <c r="C34" s="2"/>
      <c r="D34" s="37"/>
      <c r="E34" s="37"/>
      <c r="F34" s="37"/>
      <c r="G34" s="37"/>
      <c r="H34" s="37"/>
      <c r="I34" s="2"/>
      <c r="J34" s="2"/>
      <c r="K34" s="2"/>
    </row>
    <row r="35" spans="1:11">
      <c r="A35" s="30" t="s">
        <v>81</v>
      </c>
      <c r="B35" s="44" t="s">
        <v>3</v>
      </c>
      <c r="C35" s="41">
        <v>2013</v>
      </c>
      <c r="D35" s="41">
        <v>2014</v>
      </c>
      <c r="E35" s="41">
        <v>2015</v>
      </c>
      <c r="F35" s="41">
        <v>2016</v>
      </c>
      <c r="G35" s="41">
        <v>2017</v>
      </c>
      <c r="H35" s="41">
        <v>2018</v>
      </c>
      <c r="I35" s="119">
        <v>2019</v>
      </c>
      <c r="J35" s="41" t="s">
        <v>78</v>
      </c>
      <c r="K35" s="2"/>
    </row>
    <row r="36" spans="1:11">
      <c r="A36" s="31" t="s">
        <v>71</v>
      </c>
      <c r="B36" s="35" t="s">
        <v>76</v>
      </c>
      <c r="C36" s="37" t="s">
        <v>17</v>
      </c>
      <c r="D36" s="37" t="s">
        <v>17</v>
      </c>
      <c r="E36" s="37">
        <v>125.3405562580088</v>
      </c>
      <c r="F36" s="37">
        <v>141.46974663686615</v>
      </c>
      <c r="G36" s="37">
        <v>145.94799691476138</v>
      </c>
      <c r="H36" s="37">
        <v>157.97281888836446</v>
      </c>
      <c r="I36" s="38">
        <v>143.27199999999999</v>
      </c>
      <c r="J36" s="64">
        <v>142.17553699952802</v>
      </c>
      <c r="K36" s="2"/>
    </row>
    <row r="37" spans="1:11">
      <c r="A37" s="32" t="s">
        <v>50</v>
      </c>
      <c r="B37" s="35" t="s">
        <v>76</v>
      </c>
      <c r="C37" s="37" t="s">
        <v>17</v>
      </c>
      <c r="D37" s="37" t="s">
        <v>17</v>
      </c>
      <c r="E37" s="37">
        <v>62.03605543035853</v>
      </c>
      <c r="F37" s="37">
        <v>59.676275195801423</v>
      </c>
      <c r="G37" s="37">
        <v>54.243615084202894</v>
      </c>
      <c r="H37" s="37">
        <v>53.041926718572057</v>
      </c>
      <c r="I37" s="38">
        <v>54.701999999999998</v>
      </c>
      <c r="J37" s="2"/>
      <c r="K37" s="2"/>
    </row>
    <row r="38" spans="1:11">
      <c r="A38" s="32" t="s">
        <v>49</v>
      </c>
      <c r="B38" s="35" t="s">
        <v>76</v>
      </c>
      <c r="C38" s="37" t="s">
        <v>17</v>
      </c>
      <c r="D38" s="37" t="s">
        <v>17</v>
      </c>
      <c r="E38" s="37">
        <v>29.140373672104896</v>
      </c>
      <c r="F38" s="37">
        <v>34.78272774283279</v>
      </c>
      <c r="G38" s="37">
        <v>30.718401608518782</v>
      </c>
      <c r="H38" s="37">
        <v>28.427454065744676</v>
      </c>
      <c r="I38" s="38">
        <v>25.65</v>
      </c>
      <c r="J38" s="2"/>
      <c r="K38" s="2"/>
    </row>
    <row r="39" spans="1:11">
      <c r="A39" s="31" t="s">
        <v>51</v>
      </c>
      <c r="B39" s="35" t="s">
        <v>76</v>
      </c>
      <c r="C39" s="37" t="s">
        <v>17</v>
      </c>
      <c r="D39" s="37" t="s">
        <v>17</v>
      </c>
      <c r="E39" s="37">
        <v>221.6783589074318</v>
      </c>
      <c r="F39" s="37">
        <v>207.33310756608586</v>
      </c>
      <c r="G39" s="37">
        <v>183.86028111707446</v>
      </c>
      <c r="H39" s="37">
        <v>181.49742222643223</v>
      </c>
      <c r="I39" s="38">
        <v>197.36799999999999</v>
      </c>
      <c r="J39" s="2"/>
      <c r="K39" s="2"/>
    </row>
    <row r="40" spans="1:11">
      <c r="A40" s="32" t="s">
        <v>72</v>
      </c>
      <c r="B40" s="35" t="s">
        <v>76</v>
      </c>
      <c r="C40" s="37" t="s">
        <v>17</v>
      </c>
      <c r="D40" s="37" t="s">
        <v>17</v>
      </c>
      <c r="E40" s="37">
        <v>216.84222116758258</v>
      </c>
      <c r="F40" s="37">
        <v>257.62586855217654</v>
      </c>
      <c r="G40" s="37">
        <v>272.43203624820342</v>
      </c>
      <c r="H40" s="37">
        <v>295.23489144278392</v>
      </c>
      <c r="I40" s="38">
        <v>261.91500000000002</v>
      </c>
      <c r="J40" s="2"/>
      <c r="K40" s="2"/>
    </row>
    <row r="41" spans="1:11">
      <c r="A41" s="65" t="s">
        <v>71</v>
      </c>
      <c r="B41" s="36" t="s">
        <v>75</v>
      </c>
      <c r="C41" s="39" t="s">
        <v>17</v>
      </c>
      <c r="D41" s="39" t="s">
        <v>17</v>
      </c>
      <c r="E41" s="39">
        <v>967.18181818181802</v>
      </c>
      <c r="F41" s="39">
        <v>1300.9571581578007</v>
      </c>
      <c r="G41" s="39">
        <v>1348.5045045045044</v>
      </c>
      <c r="H41" s="39">
        <v>1304.1246306741873</v>
      </c>
      <c r="I41" s="40">
        <v>1214.8030000000001</v>
      </c>
      <c r="J41" s="2"/>
      <c r="K41" s="2"/>
    </row>
    <row r="42" spans="1:11">
      <c r="A42" s="2"/>
      <c r="B42" s="2"/>
      <c r="C42" s="2"/>
      <c r="D42" s="37"/>
      <c r="E42" s="37"/>
      <c r="F42" s="37"/>
      <c r="G42" s="37"/>
      <c r="H42" s="37"/>
      <c r="I42" s="2"/>
      <c r="J42" s="2"/>
      <c r="K42" s="2"/>
    </row>
    <row r="43" spans="1:11">
      <c r="A43" s="30" t="s">
        <v>82</v>
      </c>
      <c r="B43" s="44" t="s">
        <v>3</v>
      </c>
      <c r="C43" s="41">
        <v>2013</v>
      </c>
      <c r="D43" s="41">
        <v>2014</v>
      </c>
      <c r="E43" s="41">
        <v>2015</v>
      </c>
      <c r="F43" s="41">
        <v>2016</v>
      </c>
      <c r="G43" s="41">
        <v>2017</v>
      </c>
      <c r="H43" s="41">
        <v>2018</v>
      </c>
      <c r="I43" s="119">
        <v>2019</v>
      </c>
      <c r="J43" s="2"/>
      <c r="K43" s="2"/>
    </row>
    <row r="44" spans="1:11">
      <c r="A44" s="31" t="s">
        <v>71</v>
      </c>
      <c r="B44" s="35" t="s">
        <v>83</v>
      </c>
      <c r="C44" s="37">
        <v>4.5655856750861092</v>
      </c>
      <c r="D44" s="37">
        <v>3.4563081208692528</v>
      </c>
      <c r="E44" s="37">
        <v>3.5780069522742695</v>
      </c>
      <c r="F44" s="37">
        <v>3.6530119221411566</v>
      </c>
      <c r="G44" s="37">
        <v>3.1523444186600273</v>
      </c>
      <c r="H44" s="37">
        <v>3.2251794986848217</v>
      </c>
      <c r="I44" s="38">
        <v>3.4660000000000002</v>
      </c>
      <c r="J44" s="2"/>
      <c r="K44" s="2"/>
    </row>
    <row r="45" spans="1:11">
      <c r="A45" s="32" t="s">
        <v>50</v>
      </c>
      <c r="B45" s="35" t="s">
        <v>83</v>
      </c>
      <c r="C45" s="37">
        <v>10.844799022588566</v>
      </c>
      <c r="D45" s="37">
        <v>8.3327965921670284</v>
      </c>
      <c r="E45" s="37">
        <v>8.881463109293021</v>
      </c>
      <c r="F45" s="37">
        <v>8.9496850282761251</v>
      </c>
      <c r="G45" s="37">
        <v>7.6153690559766556</v>
      </c>
      <c r="H45" s="37">
        <v>8.0419848386230974</v>
      </c>
      <c r="I45" s="38">
        <v>8.7100000000000009</v>
      </c>
      <c r="J45" s="2"/>
      <c r="K45" s="2"/>
    </row>
    <row r="46" spans="1:11">
      <c r="A46" s="32" t="s">
        <v>49</v>
      </c>
      <c r="B46" s="35" t="s">
        <v>83</v>
      </c>
      <c r="C46" s="37">
        <v>0.82835868768836995</v>
      </c>
      <c r="D46" s="37">
        <v>0.86867829204367464</v>
      </c>
      <c r="E46" s="37">
        <v>0.72473392211472254</v>
      </c>
      <c r="F46" s="37">
        <v>0.88056768734603064</v>
      </c>
      <c r="G46" s="37">
        <v>0.89779325811414834</v>
      </c>
      <c r="H46" s="37">
        <v>0.88401928791757267</v>
      </c>
      <c r="I46" s="38">
        <v>0.89400000000000002</v>
      </c>
      <c r="J46" s="2"/>
      <c r="K46" s="2"/>
    </row>
    <row r="47" spans="1:11">
      <c r="A47" s="31" t="s">
        <v>51</v>
      </c>
      <c r="B47" s="35" t="s">
        <v>83</v>
      </c>
      <c r="C47" s="37">
        <v>4.9586097407028924E-3</v>
      </c>
      <c r="D47" s="37">
        <v>4.501656497049502E-3</v>
      </c>
      <c r="E47" s="37">
        <v>3.7522996531269134E-3</v>
      </c>
      <c r="F47" s="37">
        <v>3.958513981768272E-3</v>
      </c>
      <c r="G47" s="37">
        <v>3.5515517224028762E-3</v>
      </c>
      <c r="H47" s="37">
        <v>4.5989076208596295E-3</v>
      </c>
      <c r="I47" s="38">
        <v>2E-3</v>
      </c>
      <c r="J47" s="2"/>
      <c r="K47" s="2"/>
    </row>
    <row r="48" spans="1:11">
      <c r="A48" s="33" t="s">
        <v>72</v>
      </c>
      <c r="B48" s="36" t="s">
        <v>83</v>
      </c>
      <c r="C48" s="39">
        <v>0.45419793132158559</v>
      </c>
      <c r="D48" s="39">
        <v>0.46187336151298791</v>
      </c>
      <c r="E48" s="39">
        <v>0.46992017266083336</v>
      </c>
      <c r="F48" s="39">
        <v>0.48317765870184343</v>
      </c>
      <c r="G48" s="39">
        <v>0.47198004118265979</v>
      </c>
      <c r="H48" s="39">
        <v>0.4284281213854384</v>
      </c>
      <c r="I48" s="40">
        <v>0.42099999999999999</v>
      </c>
      <c r="J48" s="2"/>
      <c r="K48" s="2"/>
    </row>
    <row r="49" spans="1:11">
      <c r="A49" s="2"/>
      <c r="B49" s="2"/>
      <c r="C49" s="2"/>
      <c r="D49" s="37"/>
      <c r="E49" s="37"/>
      <c r="F49" s="37"/>
      <c r="G49" s="37"/>
      <c r="H49" s="37"/>
      <c r="I49" s="2"/>
      <c r="J49" s="2"/>
      <c r="K49" s="2"/>
    </row>
    <row r="50" spans="1:11">
      <c r="A50" s="30" t="s">
        <v>155</v>
      </c>
      <c r="B50" s="44" t="s">
        <v>3</v>
      </c>
      <c r="C50" s="41">
        <v>2013</v>
      </c>
      <c r="D50" s="41">
        <v>2014</v>
      </c>
      <c r="E50" s="41">
        <v>2015</v>
      </c>
      <c r="F50" s="41">
        <v>2016</v>
      </c>
      <c r="G50" s="41">
        <v>2017</v>
      </c>
      <c r="H50" s="41">
        <v>2018</v>
      </c>
      <c r="I50" s="119">
        <v>2019</v>
      </c>
      <c r="J50" s="2"/>
      <c r="K50" s="2"/>
    </row>
    <row r="51" spans="1:11">
      <c r="A51" s="31" t="s">
        <v>71</v>
      </c>
      <c r="B51" s="35" t="s">
        <v>76</v>
      </c>
      <c r="C51" s="37">
        <v>159.46693640137411</v>
      </c>
      <c r="D51" s="37">
        <v>169.42258535114448</v>
      </c>
      <c r="E51" s="37">
        <v>6.9701606259587638</v>
      </c>
      <c r="F51" s="37">
        <v>10.978177092383644</v>
      </c>
      <c r="G51" s="37">
        <v>8.8711012051851057</v>
      </c>
      <c r="H51" s="37">
        <v>5.7792873182136288</v>
      </c>
      <c r="I51" s="38">
        <v>6.1130000000000004</v>
      </c>
      <c r="J51" s="2"/>
      <c r="K51" s="2"/>
    </row>
    <row r="52" spans="1:11">
      <c r="A52" s="32" t="s">
        <v>50</v>
      </c>
      <c r="B52" s="35" t="s">
        <v>76</v>
      </c>
      <c r="C52" s="37">
        <v>3.6842104108234781</v>
      </c>
      <c r="D52" s="37">
        <v>2.9910373019940617</v>
      </c>
      <c r="E52" s="37">
        <v>0.89593732479025556</v>
      </c>
      <c r="F52" s="37">
        <v>0.45772122834606832</v>
      </c>
      <c r="G52" s="37">
        <v>0.30777438798200402</v>
      </c>
      <c r="H52" s="37">
        <v>0.63199303238665949</v>
      </c>
      <c r="I52" s="38">
        <v>0.63500000000000001</v>
      </c>
      <c r="J52" s="2"/>
      <c r="K52" s="2"/>
    </row>
    <row r="53" spans="1:11">
      <c r="A53" s="32" t="s">
        <v>49</v>
      </c>
      <c r="B53" s="35" t="s">
        <v>76</v>
      </c>
      <c r="C53" s="37">
        <v>828.23093946415872</v>
      </c>
      <c r="D53" s="37">
        <v>868.42581532735596</v>
      </c>
      <c r="E53" s="37">
        <v>24.578662871771741</v>
      </c>
      <c r="F53" s="37">
        <v>29.497637295231971</v>
      </c>
      <c r="G53" s="37">
        <v>28.951261608786933</v>
      </c>
      <c r="H53" s="37">
        <v>22.238574629167214</v>
      </c>
      <c r="I53" s="38">
        <v>19.495000000000001</v>
      </c>
      <c r="J53" s="2"/>
      <c r="K53" s="2"/>
    </row>
    <row r="54" spans="1:11">
      <c r="A54" s="31" t="s">
        <v>51</v>
      </c>
      <c r="B54" s="35" t="s">
        <v>76</v>
      </c>
      <c r="C54" s="37">
        <v>1.3823513062936708</v>
      </c>
      <c r="D54" s="37">
        <v>1.6313665521070115</v>
      </c>
      <c r="E54" s="37">
        <v>0.88068536623697868</v>
      </c>
      <c r="F54" s="37">
        <v>0.61601207030083305</v>
      </c>
      <c r="G54" s="37">
        <v>0.92501585230671879</v>
      </c>
      <c r="H54" s="37">
        <v>0.91261489312941968</v>
      </c>
      <c r="I54" s="38">
        <v>2.1869999999999998</v>
      </c>
      <c r="J54" s="2"/>
      <c r="K54" s="2"/>
    </row>
    <row r="55" spans="1:11">
      <c r="A55" s="33" t="s">
        <v>72</v>
      </c>
      <c r="B55" s="36" t="s">
        <v>76</v>
      </c>
      <c r="C55" s="39">
        <v>10.205056968646582</v>
      </c>
      <c r="D55" s="39">
        <v>7.7913831270385128</v>
      </c>
      <c r="E55" s="39">
        <v>4.7633853890947337</v>
      </c>
      <c r="F55" s="39">
        <v>12.203391215603281</v>
      </c>
      <c r="G55" s="39">
        <v>7.8097091400918082</v>
      </c>
      <c r="H55" s="39">
        <v>3.440751002955472</v>
      </c>
      <c r="I55" s="40">
        <v>5.1680000000000001</v>
      </c>
      <c r="J55" s="2"/>
      <c r="K55" s="2"/>
    </row>
    <row r="56" spans="1:11">
      <c r="A56" s="2"/>
      <c r="B56" s="2"/>
      <c r="C56" s="2"/>
      <c r="D56" s="37"/>
      <c r="E56" s="37"/>
      <c r="F56" s="37"/>
      <c r="G56" s="37"/>
      <c r="H56" s="37"/>
      <c r="I56" s="2"/>
      <c r="J56" s="2"/>
      <c r="K56" s="2"/>
    </row>
    <row r="57" spans="1:11">
      <c r="A57" s="30" t="s">
        <v>156</v>
      </c>
      <c r="B57" s="44" t="s">
        <v>3</v>
      </c>
      <c r="C57" s="41">
        <v>2013</v>
      </c>
      <c r="D57" s="41">
        <v>2014</v>
      </c>
      <c r="E57" s="41">
        <v>2015</v>
      </c>
      <c r="F57" s="41">
        <v>2016</v>
      </c>
      <c r="G57" s="41">
        <v>2017</v>
      </c>
      <c r="H57" s="41">
        <v>2018</v>
      </c>
      <c r="I57" s="119">
        <v>2019</v>
      </c>
      <c r="J57" s="41" t="s">
        <v>78</v>
      </c>
      <c r="K57" s="2"/>
    </row>
    <row r="58" spans="1:11">
      <c r="A58" s="65" t="s">
        <v>71</v>
      </c>
      <c r="B58" s="36" t="s">
        <v>0</v>
      </c>
      <c r="C58" s="45">
        <v>15.255325382857787</v>
      </c>
      <c r="D58" s="45">
        <v>8.5672382375449541</v>
      </c>
      <c r="E58" s="45">
        <v>31.032074637115318</v>
      </c>
      <c r="F58" s="45">
        <v>26.762283150064505</v>
      </c>
      <c r="G58" s="45">
        <v>26.334186102819636</v>
      </c>
      <c r="H58" s="45">
        <v>26.815567228988463</v>
      </c>
      <c r="I58" s="159">
        <v>34.5</v>
      </c>
      <c r="J58" s="46">
        <v>40</v>
      </c>
      <c r="K58" s="2"/>
    </row>
    <row r="59" spans="1:11">
      <c r="A59" s="2"/>
      <c r="B59" s="2"/>
      <c r="C59" s="2"/>
      <c r="D59" s="37"/>
      <c r="E59" s="37"/>
      <c r="F59" s="37"/>
      <c r="G59" s="37"/>
      <c r="H59" s="37"/>
      <c r="I59" s="2"/>
      <c r="J59" s="2"/>
      <c r="K59" s="2"/>
    </row>
    <row r="60" spans="1:11">
      <c r="A60" s="47" t="s">
        <v>86</v>
      </c>
      <c r="B60" s="48" t="s">
        <v>3</v>
      </c>
      <c r="C60" s="49">
        <v>2013</v>
      </c>
      <c r="D60" s="49">
        <v>2014</v>
      </c>
      <c r="E60" s="49">
        <v>2015</v>
      </c>
      <c r="F60" s="49">
        <v>2016</v>
      </c>
      <c r="G60" s="49">
        <v>2017</v>
      </c>
      <c r="H60" s="49">
        <v>2018</v>
      </c>
      <c r="I60" s="49">
        <v>2019</v>
      </c>
      <c r="J60" s="2"/>
      <c r="K60" s="2"/>
    </row>
    <row r="61" spans="1:11">
      <c r="A61" s="66" t="s">
        <v>87</v>
      </c>
      <c r="B61" s="35" t="s">
        <v>92</v>
      </c>
      <c r="C61" s="69">
        <v>4499.5427473</v>
      </c>
      <c r="D61" s="69">
        <v>3960.7587929000001</v>
      </c>
      <c r="E61" s="69">
        <v>3441.4052891400006</v>
      </c>
      <c r="F61" s="69">
        <v>4024.4557539299999</v>
      </c>
      <c r="G61" s="69">
        <v>5089.6162581900007</v>
      </c>
      <c r="H61" s="69">
        <v>8210.0297399999999</v>
      </c>
      <c r="I61" s="70">
        <v>9059.5</v>
      </c>
      <c r="J61" s="2"/>
      <c r="K61" s="2"/>
    </row>
    <row r="62" spans="1:11">
      <c r="A62" s="67" t="s">
        <v>88</v>
      </c>
      <c r="B62" s="35" t="s">
        <v>92</v>
      </c>
      <c r="C62" s="69">
        <v>2745.3855871900005</v>
      </c>
      <c r="D62" s="69">
        <v>2470.1695099799999</v>
      </c>
      <c r="E62" s="69">
        <v>2393.6230065600002</v>
      </c>
      <c r="F62" s="69">
        <v>3023.7254387600001</v>
      </c>
      <c r="G62" s="69">
        <v>3578.7059357000003</v>
      </c>
      <c r="H62" s="69">
        <v>4587.7070000000003</v>
      </c>
      <c r="I62" s="70">
        <v>4351.8999999999996</v>
      </c>
      <c r="J62" s="2"/>
      <c r="K62" s="2"/>
    </row>
    <row r="63" spans="1:11" ht="24">
      <c r="A63" s="67" t="s">
        <v>89</v>
      </c>
      <c r="B63" s="35" t="s">
        <v>92</v>
      </c>
      <c r="C63" s="69">
        <v>1405.6698000000001</v>
      </c>
      <c r="D63" s="69">
        <v>1244.662</v>
      </c>
      <c r="E63" s="69">
        <v>735.58699999999999</v>
      </c>
      <c r="F63" s="69">
        <v>808.85299999999995</v>
      </c>
      <c r="G63" s="69">
        <v>1312.5840000000001</v>
      </c>
      <c r="H63" s="69">
        <v>986.27</v>
      </c>
      <c r="I63" s="70">
        <v>4221.8999999999996</v>
      </c>
      <c r="J63" s="2"/>
      <c r="K63" s="2"/>
    </row>
    <row r="64" spans="1:11">
      <c r="A64" s="66" t="s">
        <v>90</v>
      </c>
      <c r="B64" s="35" t="s">
        <v>92</v>
      </c>
      <c r="C64" s="69">
        <v>348.45686011000004</v>
      </c>
      <c r="D64" s="69">
        <v>245.48728291999998</v>
      </c>
      <c r="E64" s="69">
        <v>311.90328258</v>
      </c>
      <c r="F64" s="69">
        <v>139.49131517000001</v>
      </c>
      <c r="G64" s="69">
        <v>149.49832248999999</v>
      </c>
      <c r="H64" s="69">
        <v>156.34299999999999</v>
      </c>
      <c r="I64" s="70">
        <v>163.30000000000001</v>
      </c>
      <c r="J64" s="2"/>
      <c r="K64" s="2"/>
    </row>
    <row r="65" spans="1:11">
      <c r="A65" s="156" t="s">
        <v>178</v>
      </c>
      <c r="B65" s="35" t="s">
        <v>92</v>
      </c>
      <c r="C65" s="69">
        <v>3.0499999999999999E-2</v>
      </c>
      <c r="D65" s="69">
        <v>0.44</v>
      </c>
      <c r="E65" s="69">
        <v>0.29199999999999998</v>
      </c>
      <c r="F65" s="69">
        <v>0.19500000000000001</v>
      </c>
      <c r="G65" s="69">
        <v>0.46</v>
      </c>
      <c r="H65" s="69">
        <v>0.63300000000000001</v>
      </c>
      <c r="I65" s="155" t="s">
        <v>175</v>
      </c>
      <c r="J65" s="2"/>
      <c r="K65" s="2"/>
    </row>
    <row r="66" spans="1:11" ht="24">
      <c r="A66" s="68" t="s">
        <v>91</v>
      </c>
      <c r="B66" s="36" t="s">
        <v>92</v>
      </c>
      <c r="C66" s="71" t="s">
        <v>17</v>
      </c>
      <c r="D66" s="71" t="s">
        <v>17</v>
      </c>
      <c r="E66" s="71" t="s">
        <v>17</v>
      </c>
      <c r="F66" s="71">
        <v>52.191000000000003</v>
      </c>
      <c r="G66" s="71">
        <v>48.368000000000002</v>
      </c>
      <c r="H66" s="71">
        <v>2479.0767400000004</v>
      </c>
      <c r="I66" s="72">
        <v>317.5</v>
      </c>
    </row>
    <row r="68" spans="1:11">
      <c r="A68" s="47" t="s">
        <v>84</v>
      </c>
      <c r="B68" s="48" t="s">
        <v>3</v>
      </c>
      <c r="C68" s="49">
        <v>2013</v>
      </c>
      <c r="D68" s="49">
        <v>2014</v>
      </c>
      <c r="E68" s="49">
        <v>2015</v>
      </c>
      <c r="F68" s="49">
        <v>2016</v>
      </c>
      <c r="G68" s="49">
        <v>2017</v>
      </c>
      <c r="H68" s="49">
        <v>2018</v>
      </c>
      <c r="I68" s="49">
        <v>2019</v>
      </c>
      <c r="J68" s="2"/>
      <c r="K68" s="2"/>
    </row>
    <row r="69" spans="1:11">
      <c r="A69" s="32" t="s">
        <v>52</v>
      </c>
      <c r="B69" s="58" t="s">
        <v>1</v>
      </c>
      <c r="C69" s="51">
        <v>4372.5321619999995</v>
      </c>
      <c r="D69" s="51">
        <v>4518.1393589999998</v>
      </c>
      <c r="E69" s="51">
        <v>5080.8265190000002</v>
      </c>
      <c r="F69" s="51">
        <v>5591.5917499999996</v>
      </c>
      <c r="G69" s="51">
        <v>6251.5823550000005</v>
      </c>
      <c r="H69" s="51">
        <v>6536.0211339999996</v>
      </c>
      <c r="I69" s="53">
        <v>6899.5893500000002</v>
      </c>
    </row>
    <row r="70" spans="1:11">
      <c r="A70" s="32" t="s">
        <v>53</v>
      </c>
      <c r="B70" s="58" t="s">
        <v>1</v>
      </c>
      <c r="C70" s="51">
        <v>247.24600000000001</v>
      </c>
      <c r="D70" s="51">
        <v>252.08600000000001</v>
      </c>
      <c r="E70" s="51">
        <v>272.19780000000003</v>
      </c>
      <c r="F70" s="51">
        <v>338.63309100000004</v>
      </c>
      <c r="G70" s="51">
        <v>354.20138000000003</v>
      </c>
      <c r="H70" s="51">
        <v>356.11993999999993</v>
      </c>
      <c r="I70" s="53">
        <v>367.70609999999994</v>
      </c>
    </row>
    <row r="71" spans="1:11">
      <c r="A71" s="32" t="s">
        <v>54</v>
      </c>
      <c r="B71" s="58" t="s">
        <v>1</v>
      </c>
      <c r="C71" s="51">
        <v>1048.1130000000001</v>
      </c>
      <c r="D71" s="51">
        <v>1180.258</v>
      </c>
      <c r="E71" s="51">
        <v>1111.586</v>
      </c>
      <c r="F71" s="51">
        <v>1198.6479999999999</v>
      </c>
      <c r="G71" s="51">
        <v>1454.866</v>
      </c>
      <c r="H71" s="51">
        <v>1865.9880000000001</v>
      </c>
      <c r="I71" s="53">
        <v>1930.085</v>
      </c>
    </row>
    <row r="72" spans="1:11">
      <c r="A72" s="32" t="s">
        <v>55</v>
      </c>
      <c r="B72" s="58" t="s">
        <v>1</v>
      </c>
      <c r="C72" s="51">
        <v>323.89350000000002</v>
      </c>
      <c r="D72" s="51">
        <v>326.86192999999992</v>
      </c>
      <c r="E72" s="51">
        <v>367.82274000000001</v>
      </c>
      <c r="F72" s="51">
        <v>368.4606</v>
      </c>
      <c r="G72" s="51">
        <v>400.65863000000002</v>
      </c>
      <c r="H72" s="51">
        <v>429.34920000000005</v>
      </c>
      <c r="I72" s="53">
        <v>457.27226999999999</v>
      </c>
    </row>
    <row r="73" spans="1:11">
      <c r="A73" s="32" t="s">
        <v>56</v>
      </c>
      <c r="B73" s="58" t="s">
        <v>1</v>
      </c>
      <c r="C73" s="51">
        <v>406.49074999999999</v>
      </c>
      <c r="D73" s="51">
        <v>411.90854999999999</v>
      </c>
      <c r="E73" s="51">
        <v>455.32614999999998</v>
      </c>
      <c r="F73" s="51">
        <v>458.86559999999997</v>
      </c>
      <c r="G73" s="51">
        <v>496.43744999999996</v>
      </c>
      <c r="H73" s="51">
        <v>532.61374999999998</v>
      </c>
      <c r="I73" s="53">
        <v>566.41985</v>
      </c>
    </row>
    <row r="74" spans="1:11">
      <c r="A74" s="32" t="s">
        <v>57</v>
      </c>
      <c r="B74" s="58" t="s">
        <v>1</v>
      </c>
      <c r="C74" s="51">
        <v>903.10739999999987</v>
      </c>
      <c r="D74" s="51">
        <v>965.92969999999991</v>
      </c>
      <c r="E74" s="51">
        <v>978.12216999999987</v>
      </c>
      <c r="F74" s="51">
        <v>1036.1190100000001</v>
      </c>
      <c r="G74" s="51">
        <v>1238.7735799999998</v>
      </c>
      <c r="H74" s="51">
        <v>1589.63777</v>
      </c>
      <c r="I74" s="53">
        <v>1684.1218600000002</v>
      </c>
    </row>
    <row r="75" spans="1:11">
      <c r="A75" s="32" t="s">
        <v>58</v>
      </c>
      <c r="B75" s="58" t="s">
        <v>1</v>
      </c>
      <c r="C75" s="51">
        <v>4338.8249210000004</v>
      </c>
      <c r="D75" s="51">
        <v>4462.0870000000004</v>
      </c>
      <c r="E75" s="51">
        <v>4712.1419999999998</v>
      </c>
      <c r="F75" s="51">
        <v>4926.1260000000002</v>
      </c>
      <c r="G75" s="51">
        <v>5437.8290900000002</v>
      </c>
      <c r="H75" s="51">
        <v>5731.6799927500006</v>
      </c>
      <c r="I75" s="53">
        <v>6123.0059099999999</v>
      </c>
    </row>
    <row r="76" spans="1:11">
      <c r="A76" s="32" t="s">
        <v>59</v>
      </c>
      <c r="B76" s="58" t="s">
        <v>1</v>
      </c>
      <c r="C76" s="51">
        <v>1765.0146000000002</v>
      </c>
      <c r="D76" s="51">
        <v>1933.8893</v>
      </c>
      <c r="E76" s="51">
        <v>2114.2547713556883</v>
      </c>
      <c r="F76" s="51">
        <v>2259.5249461099997</v>
      </c>
      <c r="G76" s="51">
        <v>2469.1977529999999</v>
      </c>
      <c r="H76" s="51">
        <v>2546.2440999999999</v>
      </c>
      <c r="I76" s="53">
        <v>2684.0147000000002</v>
      </c>
    </row>
    <row r="77" spans="1:11">
      <c r="A77" s="32" t="s">
        <v>60</v>
      </c>
      <c r="B77" s="58" t="s">
        <v>1</v>
      </c>
      <c r="C77" s="51">
        <v>27.108000000000001</v>
      </c>
      <c r="D77" s="51">
        <v>27.385999999999999</v>
      </c>
      <c r="E77" s="51">
        <v>36.082900000000002</v>
      </c>
      <c r="F77" s="51">
        <v>46.024999999999999</v>
      </c>
      <c r="G77" s="51">
        <v>47.000500000000002</v>
      </c>
      <c r="H77" s="51">
        <v>48.287999999999997</v>
      </c>
      <c r="I77" s="53">
        <v>56.695999999999998</v>
      </c>
    </row>
    <row r="78" spans="1:11">
      <c r="A78" s="32" t="s">
        <v>61</v>
      </c>
      <c r="B78" s="58" t="s">
        <v>1</v>
      </c>
      <c r="C78" s="51">
        <v>8658.5849999999991</v>
      </c>
      <c r="D78" s="51">
        <v>8407.5130000000008</v>
      </c>
      <c r="E78" s="51">
        <v>8769.4002500000006</v>
      </c>
      <c r="F78" s="51">
        <v>9441.1220900000008</v>
      </c>
      <c r="G78" s="51">
        <v>10493.290300000001</v>
      </c>
      <c r="H78" s="51">
        <v>10994.01994</v>
      </c>
      <c r="I78" s="53">
        <v>11632.03775</v>
      </c>
    </row>
    <row r="79" spans="1:11">
      <c r="A79" s="32" t="s">
        <v>62</v>
      </c>
      <c r="B79" s="58" t="s">
        <v>1</v>
      </c>
      <c r="C79" s="51">
        <v>123.178127</v>
      </c>
      <c r="D79" s="51">
        <v>129.18092999999999</v>
      </c>
      <c r="E79" s="51">
        <v>123.49</v>
      </c>
      <c r="F79" s="51">
        <v>92.906999999999996</v>
      </c>
      <c r="G79" s="51">
        <v>72.912000000000006</v>
      </c>
      <c r="H79" s="51">
        <v>104.79389999999999</v>
      </c>
      <c r="I79" s="53">
        <v>98.919629999999998</v>
      </c>
    </row>
    <row r="80" spans="1:11">
      <c r="A80" s="55" t="s">
        <v>63</v>
      </c>
      <c r="B80" s="59" t="s">
        <v>1</v>
      </c>
      <c r="C80" s="56">
        <v>22214.093459999996</v>
      </c>
      <c r="D80" s="56">
        <v>22615.239769000003</v>
      </c>
      <c r="E80" s="56">
        <v>24021.251300355692</v>
      </c>
      <c r="F80" s="56">
        <v>25758.023087109999</v>
      </c>
      <c r="G80" s="56">
        <v>28716.749037999998</v>
      </c>
      <c r="H80" s="56">
        <v>30734.755726749998</v>
      </c>
      <c r="I80" s="57">
        <f>SUM(I69:I79)</f>
        <v>32499.868419999999</v>
      </c>
    </row>
    <row r="81" spans="1:11">
      <c r="A81" s="32"/>
      <c r="B81" s="60"/>
      <c r="C81" s="52"/>
      <c r="D81" s="52"/>
      <c r="E81" s="52"/>
      <c r="F81" s="52"/>
      <c r="G81" s="52"/>
      <c r="H81" s="52"/>
      <c r="I81" s="54"/>
    </row>
    <row r="82" spans="1:11">
      <c r="A82" s="32" t="s">
        <v>64</v>
      </c>
      <c r="B82" s="58" t="s">
        <v>1</v>
      </c>
      <c r="C82" s="51">
        <v>8658.5849999999991</v>
      </c>
      <c r="D82" s="51">
        <v>8407.5130000000008</v>
      </c>
      <c r="E82" s="51">
        <v>8769.4002500000006</v>
      </c>
      <c r="F82" s="51">
        <v>9441.1220900000008</v>
      </c>
      <c r="G82" s="51">
        <v>10493.290300000001</v>
      </c>
      <c r="H82" s="51">
        <v>10994.01994</v>
      </c>
      <c r="I82" s="53">
        <v>11632.03775</v>
      </c>
    </row>
    <row r="83" spans="1:11">
      <c r="A83" s="32" t="s">
        <v>65</v>
      </c>
      <c r="B83" s="58" t="s">
        <v>1</v>
      </c>
      <c r="C83" s="51">
        <v>4126.6875</v>
      </c>
      <c r="D83" s="51">
        <v>4297.3230000000003</v>
      </c>
      <c r="E83" s="51">
        <v>4491.1915500000005</v>
      </c>
      <c r="F83" s="51">
        <v>4925.7781409999998</v>
      </c>
      <c r="G83" s="51">
        <v>5348.55303</v>
      </c>
      <c r="H83" s="51">
        <v>5553.99719</v>
      </c>
      <c r="I83" s="53">
        <v>5950.5210999999999</v>
      </c>
    </row>
    <row r="84" spans="1:11">
      <c r="A84" s="32" t="s">
        <v>66</v>
      </c>
      <c r="B84" s="58" t="s">
        <v>1</v>
      </c>
      <c r="C84" s="51">
        <v>403.33886000000001</v>
      </c>
      <c r="D84" s="51">
        <v>444.28089999999997</v>
      </c>
      <c r="E84" s="51">
        <v>533.00647200000003</v>
      </c>
      <c r="F84" s="51">
        <v>505.2401000000001</v>
      </c>
      <c r="G84" s="51">
        <v>563.13413299999991</v>
      </c>
      <c r="H84" s="51">
        <v>652.32882400000005</v>
      </c>
      <c r="I84" s="53">
        <v>614.71233000000007</v>
      </c>
    </row>
    <row r="85" spans="1:11">
      <c r="A85" s="32" t="s">
        <v>67</v>
      </c>
      <c r="B85" s="58" t="s">
        <v>1</v>
      </c>
      <c r="C85" s="51">
        <v>9025.4820999999993</v>
      </c>
      <c r="D85" s="51">
        <v>9466.1228690000007</v>
      </c>
      <c r="E85" s="51">
        <v>10227.653028355688</v>
      </c>
      <c r="F85" s="51">
        <v>10885.882756109999</v>
      </c>
      <c r="G85" s="51">
        <v>12311.771574999999</v>
      </c>
      <c r="H85" s="51">
        <v>13534.409772749999</v>
      </c>
      <c r="I85" s="53">
        <v>14302.597240000001</v>
      </c>
    </row>
    <row r="86" spans="1:11">
      <c r="A86" s="55" t="s">
        <v>63</v>
      </c>
      <c r="B86" s="59" t="s">
        <v>1</v>
      </c>
      <c r="C86" s="56">
        <v>22214.09346</v>
      </c>
      <c r="D86" s="56">
        <v>22615.239769</v>
      </c>
      <c r="E86" s="56">
        <v>24021.251300355689</v>
      </c>
      <c r="F86" s="56">
        <v>25758.023087110003</v>
      </c>
      <c r="G86" s="56">
        <v>28716.749038000002</v>
      </c>
      <c r="H86" s="56">
        <v>30734.755726750001</v>
      </c>
      <c r="I86" s="57">
        <f>SUM(I82:I85)</f>
        <v>32499.868419999999</v>
      </c>
    </row>
    <row r="88" spans="1:11">
      <c r="A88" s="47" t="s">
        <v>85</v>
      </c>
      <c r="B88" s="48" t="s">
        <v>3</v>
      </c>
      <c r="C88" s="49">
        <v>2013</v>
      </c>
      <c r="D88" s="49">
        <v>2014</v>
      </c>
      <c r="E88" s="49">
        <v>2015</v>
      </c>
      <c r="F88" s="49">
        <v>2016</v>
      </c>
      <c r="G88" s="49">
        <v>2017</v>
      </c>
      <c r="H88" s="49">
        <v>2018</v>
      </c>
      <c r="I88" s="49">
        <v>2019</v>
      </c>
      <c r="J88" s="2"/>
      <c r="K88" s="2"/>
    </row>
    <row r="89" spans="1:11">
      <c r="A89" s="33" t="s">
        <v>69</v>
      </c>
      <c r="B89" s="61" t="s">
        <v>70</v>
      </c>
      <c r="C89" s="62">
        <v>3283</v>
      </c>
      <c r="D89" s="62">
        <v>3205</v>
      </c>
      <c r="E89" s="62">
        <v>3113</v>
      </c>
      <c r="F89" s="62">
        <v>2801</v>
      </c>
      <c r="G89" s="62">
        <v>3108</v>
      </c>
      <c r="H89" s="62">
        <v>3723</v>
      </c>
      <c r="I89" s="63">
        <v>3833</v>
      </c>
    </row>
    <row r="91" spans="1:11">
      <c r="A91" t="s">
        <v>180</v>
      </c>
    </row>
  </sheetData>
  <pageMargins left="0.25" right="0.25" top="0.75" bottom="0.75" header="0.3" footer="0.3"/>
  <pageSetup paperSize="9" scale="5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J82"/>
  <sheetViews>
    <sheetView showGridLines="0" topLeftCell="A22" zoomScaleNormal="100" zoomScaleSheetLayoutView="85" workbookViewId="0">
      <selection activeCell="D84" sqref="D84"/>
    </sheetView>
  </sheetViews>
  <sheetFormatPr defaultRowHeight="14.4"/>
  <cols>
    <col min="1" max="1" width="47.88671875" bestFit="1" customWidth="1"/>
    <col min="2" max="2" width="17.33203125" customWidth="1"/>
    <col min="3" max="3" width="12.88671875" bestFit="1" customWidth="1"/>
    <col min="4" max="4" width="14.33203125" customWidth="1"/>
    <col min="5" max="5" width="12.88671875" bestFit="1" customWidth="1"/>
    <col min="6" max="6" width="14.33203125" customWidth="1"/>
    <col min="7" max="7" width="12.88671875" bestFit="1" customWidth="1"/>
    <col min="8" max="8" width="14.44140625" customWidth="1"/>
    <col min="9" max="9" width="15.77734375" customWidth="1"/>
    <col min="10" max="10" width="14.6640625" customWidth="1"/>
    <col min="11" max="11" width="12.77734375" customWidth="1"/>
  </cols>
  <sheetData>
    <row r="3" spans="1:10" ht="15.6">
      <c r="A3" s="74" t="s">
        <v>93</v>
      </c>
      <c r="B3" s="29"/>
      <c r="C3" s="29"/>
      <c r="D3" s="29"/>
      <c r="E3" s="29"/>
      <c r="F3" s="29"/>
      <c r="G3" s="29"/>
      <c r="H3" s="29"/>
      <c r="I3" s="29"/>
      <c r="J3" s="3"/>
    </row>
    <row r="6" spans="1:10">
      <c r="A6" s="30" t="s">
        <v>158</v>
      </c>
      <c r="B6" s="119" t="s">
        <v>3</v>
      </c>
      <c r="C6" s="114">
        <v>2013</v>
      </c>
      <c r="D6" s="114">
        <v>2014</v>
      </c>
      <c r="E6" s="114">
        <v>2015</v>
      </c>
      <c r="F6" s="114">
        <v>2016</v>
      </c>
      <c r="G6" s="114">
        <v>2017</v>
      </c>
      <c r="H6" s="114">
        <v>2018</v>
      </c>
      <c r="I6" s="119">
        <v>2019</v>
      </c>
    </row>
    <row r="7" spans="1:10">
      <c r="A7" s="87" t="s">
        <v>151</v>
      </c>
      <c r="B7" s="122" t="s">
        <v>171</v>
      </c>
      <c r="C7" s="128" t="s">
        <v>17</v>
      </c>
      <c r="D7" s="127" t="s">
        <v>17</v>
      </c>
      <c r="E7" s="127">
        <f>3267.522286/E80</f>
        <v>0.13602631458052383</v>
      </c>
      <c r="F7" s="127">
        <f>3240.039583/F80</f>
        <v>0.12578758750400382</v>
      </c>
      <c r="G7" s="127">
        <f>3595.5301471/G80</f>
        <v>0.12520672665078292</v>
      </c>
      <c r="H7" s="127">
        <f>3673.546524/H80</f>
        <v>0.11952418157020613</v>
      </c>
      <c r="I7" s="150">
        <f>3734.68/I74</f>
        <v>0.11491369601058835</v>
      </c>
    </row>
    <row r="8" spans="1:10">
      <c r="A8" s="83" t="s">
        <v>50</v>
      </c>
      <c r="B8" s="122" t="s">
        <v>171</v>
      </c>
      <c r="C8" s="128" t="s">
        <v>17</v>
      </c>
      <c r="D8" s="127" t="s">
        <v>17</v>
      </c>
      <c r="E8" s="127">
        <f>1592.29149/E76</f>
        <v>0.18157359050865537</v>
      </c>
      <c r="F8" s="127">
        <f>1487.177836/F76</f>
        <v>0.15752130115711702</v>
      </c>
      <c r="G8" s="127">
        <f>1675.4897791/G76</f>
        <v>0.15967248891417785</v>
      </c>
      <c r="H8" s="127">
        <f>1648.633413/H76</f>
        <v>0.14995728787080953</v>
      </c>
      <c r="I8" s="150">
        <f>1651.74/I76</f>
        <v>0.14199919528287294</v>
      </c>
    </row>
    <row r="9" spans="1:10">
      <c r="A9" s="83" t="s">
        <v>49</v>
      </c>
      <c r="B9" s="122" t="s">
        <v>171</v>
      </c>
      <c r="C9" s="128" t="s">
        <v>17</v>
      </c>
      <c r="D9" s="127" t="s">
        <v>17</v>
      </c>
      <c r="E9" s="127">
        <f>418.848841/E77</f>
        <v>9.3260070593070107E-2</v>
      </c>
      <c r="F9" s="127">
        <f>434.87492/F77</f>
        <v>8.8285527190169896E-2</v>
      </c>
      <c r="G9" s="127">
        <f>456.447397/G77</f>
        <v>8.534035176239059E-2</v>
      </c>
      <c r="H9" s="127">
        <f>464.436741/H77</f>
        <v>8.3622069855602499E-2</v>
      </c>
      <c r="I9" s="150">
        <f>488.8/I77</f>
        <v>8.2144066340677294E-2</v>
      </c>
    </row>
    <row r="10" spans="1:10">
      <c r="A10" s="83" t="s">
        <v>51</v>
      </c>
      <c r="B10" s="122" t="s">
        <v>171</v>
      </c>
      <c r="C10" s="128" t="s">
        <v>17</v>
      </c>
      <c r="D10" s="127" t="s">
        <v>17</v>
      </c>
      <c r="E10" s="127">
        <f>152.263355/E78</f>
        <v>0.28566886707522005</v>
      </c>
      <c r="F10" s="127">
        <f>154.084639/F78</f>
        <v>0.30497309892860835</v>
      </c>
      <c r="G10" s="127">
        <f>157.839453/G78</f>
        <v>0.28028749058263891</v>
      </c>
      <c r="H10" s="127">
        <f>140.842635/H78</f>
        <v>0.21590742248115039</v>
      </c>
      <c r="I10" s="150">
        <f>119.61/I78</f>
        <v>0.1945788203077039</v>
      </c>
    </row>
    <row r="11" spans="1:10">
      <c r="A11" s="84" t="s">
        <v>72</v>
      </c>
      <c r="B11" s="123" t="s">
        <v>171</v>
      </c>
      <c r="C11" s="129" t="s">
        <v>17</v>
      </c>
      <c r="D11" s="130" t="s">
        <v>17</v>
      </c>
      <c r="E11" s="130">
        <f>1104.1186/E79</f>
        <v>0.10795424883293196</v>
      </c>
      <c r="F11" s="130">
        <f>1163.902188/F79</f>
        <v>0.10691849380306141</v>
      </c>
      <c r="G11" s="130">
        <f>1305.753518/G79</f>
        <v>0.10605732164909826</v>
      </c>
      <c r="H11" s="130">
        <f>1419.633735/H79</f>
        <v>0.10489070146658863</v>
      </c>
      <c r="I11" s="151">
        <f>1474.53/I79</f>
        <v>0.10309526131912528</v>
      </c>
    </row>
    <row r="12" spans="1:10">
      <c r="B12" s="124"/>
    </row>
    <row r="13" spans="1:10">
      <c r="A13" s="121" t="s">
        <v>159</v>
      </c>
      <c r="B13" s="119" t="s">
        <v>3</v>
      </c>
      <c r="C13" s="119">
        <v>2013</v>
      </c>
      <c r="D13" s="119">
        <v>2014</v>
      </c>
      <c r="E13" s="119">
        <v>2015</v>
      </c>
      <c r="F13" s="119">
        <v>2016</v>
      </c>
      <c r="G13" s="119">
        <v>2017</v>
      </c>
      <c r="H13" s="119">
        <v>2018</v>
      </c>
      <c r="I13" s="119">
        <v>2019</v>
      </c>
    </row>
    <row r="14" spans="1:10">
      <c r="A14" s="87" t="s">
        <v>71</v>
      </c>
      <c r="B14" s="122" t="s">
        <v>171</v>
      </c>
      <c r="C14" s="128" t="s">
        <v>17</v>
      </c>
      <c r="D14" s="127" t="s">
        <v>17</v>
      </c>
      <c r="E14" s="127">
        <f>2020.240458/E80</f>
        <v>8.4102215689741605E-2</v>
      </c>
      <c r="F14" s="127">
        <f>1968.373831/F80</f>
        <v>7.6417892178419017E-2</v>
      </c>
      <c r="G14" s="127">
        <f>2252.4105381/G80</f>
        <v>7.8435429272284737E-2</v>
      </c>
      <c r="H14" s="127">
        <f>2188.543552/H80</f>
        <v>7.1207449034488363E-2</v>
      </c>
      <c r="I14" s="150">
        <f>2234.57/I74</f>
        <v>6.8756278367726395E-2</v>
      </c>
    </row>
    <row r="15" spans="1:10">
      <c r="A15" s="83" t="s">
        <v>50</v>
      </c>
      <c r="B15" s="122" t="s">
        <v>171</v>
      </c>
      <c r="C15" s="128" t="s">
        <v>17</v>
      </c>
      <c r="D15" s="127" t="s">
        <v>17</v>
      </c>
      <c r="E15" s="127">
        <f>1592.29149/E76</f>
        <v>0.18157359050865537</v>
      </c>
      <c r="F15" s="127">
        <f>1487.177836/F76</f>
        <v>0.15752130115711702</v>
      </c>
      <c r="G15" s="127">
        <f>1675.4897791/G76</f>
        <v>0.15967248891417785</v>
      </c>
      <c r="H15" s="127">
        <f>1648.633413/H76</f>
        <v>0.14995728787080953</v>
      </c>
      <c r="I15" s="150">
        <f>1651.74/I76</f>
        <v>0.14199919528287294</v>
      </c>
    </row>
    <row r="16" spans="1:10">
      <c r="A16" s="83" t="s">
        <v>49</v>
      </c>
      <c r="B16" s="122" t="s">
        <v>171</v>
      </c>
      <c r="C16" s="128" t="s">
        <v>17</v>
      </c>
      <c r="D16" s="127" t="s">
        <v>17</v>
      </c>
      <c r="E16" s="127">
        <f>91.393013/E77</f>
        <v>2.0349391020741476E-2</v>
      </c>
      <c r="F16" s="127">
        <f>96.245168/F77</f>
        <v>1.9539078952601981E-2</v>
      </c>
      <c r="G16" s="127">
        <f>106.856788/G77</f>
        <v>1.9978634857061518E-2</v>
      </c>
      <c r="H16" s="127">
        <f>142.796769/H77</f>
        <v>2.5710630400949123E-2</v>
      </c>
      <c r="I16" s="150">
        <f>148.06/I77</f>
        <v>2.4881854464813176E-2</v>
      </c>
    </row>
    <row r="17" spans="1:9">
      <c r="A17" s="83" t="s">
        <v>51</v>
      </c>
      <c r="B17" s="122" t="s">
        <v>171</v>
      </c>
      <c r="C17" s="128" t="s">
        <v>17</v>
      </c>
      <c r="D17" s="127" t="s">
        <v>17</v>
      </c>
      <c r="E17" s="127">
        <f>152.263355/E78</f>
        <v>0.28566886707522005</v>
      </c>
      <c r="F17" s="127">
        <f>154.084639/F78</f>
        <v>0.30497309892860835</v>
      </c>
      <c r="G17" s="127">
        <f>157.839453/G78</f>
        <v>0.28028749058263891</v>
      </c>
      <c r="H17" s="127">
        <f>140.842635/H78</f>
        <v>0.21590742248115039</v>
      </c>
      <c r="I17" s="150">
        <f>119.61/I78</f>
        <v>0.1945788203077039</v>
      </c>
    </row>
    <row r="18" spans="1:9">
      <c r="A18" s="84" t="s">
        <v>72</v>
      </c>
      <c r="B18" s="123" t="s">
        <v>171</v>
      </c>
      <c r="C18" s="129" t="s">
        <v>17</v>
      </c>
      <c r="D18" s="130" t="s">
        <v>17</v>
      </c>
      <c r="E18" s="130">
        <f>184.2926/E79</f>
        <v>1.80190508505771E-2</v>
      </c>
      <c r="F18" s="130">
        <f>230.866188/F79</f>
        <v>2.1207851781282511E-2</v>
      </c>
      <c r="G18" s="130">
        <f>312.224518/G79</f>
        <v>2.535983681129984E-2</v>
      </c>
      <c r="H18" s="130">
        <f>256.270735/H79</f>
        <v>1.8934755139154432E-2</v>
      </c>
      <c r="I18" s="151">
        <f>315.16/I79</f>
        <v>2.2035158699609723E-2</v>
      </c>
    </row>
    <row r="19" spans="1:9">
      <c r="B19" s="124"/>
    </row>
    <row r="20" spans="1:9">
      <c r="A20" s="121" t="s">
        <v>160</v>
      </c>
      <c r="B20" s="119" t="s">
        <v>3</v>
      </c>
      <c r="C20" s="119">
        <v>2013</v>
      </c>
      <c r="D20" s="119">
        <v>2014</v>
      </c>
      <c r="E20" s="119">
        <v>2015</v>
      </c>
      <c r="F20" s="119">
        <v>2016</v>
      </c>
      <c r="G20" s="119">
        <v>2017</v>
      </c>
      <c r="H20" s="119">
        <v>2018</v>
      </c>
      <c r="I20" s="119">
        <v>2019</v>
      </c>
    </row>
    <row r="21" spans="1:9">
      <c r="A21" s="87" t="s">
        <v>71</v>
      </c>
      <c r="B21" s="122" t="s">
        <v>171</v>
      </c>
      <c r="C21" s="128" t="s">
        <v>17</v>
      </c>
      <c r="D21" s="127" t="s">
        <v>17</v>
      </c>
      <c r="E21" s="127">
        <f>1247.281828/E80</f>
        <v>5.1924098890782228E-2</v>
      </c>
      <c r="F21" s="127">
        <f>1271.665752/F80</f>
        <v>4.93696953255848E-2</v>
      </c>
      <c r="G21" s="127">
        <f>1343.119609/G80</f>
        <v>4.6771297378498194E-2</v>
      </c>
      <c r="H21" s="127">
        <f>1485.002972/H80</f>
        <v>4.8316732535717777E-2</v>
      </c>
      <c r="I21" s="150">
        <f>1500.1092/I80</f>
        <v>4.6157393027377681E-2</v>
      </c>
    </row>
    <row r="22" spans="1:9">
      <c r="A22" s="83" t="s">
        <v>50</v>
      </c>
      <c r="B22" s="122" t="s">
        <v>171</v>
      </c>
      <c r="C22" s="128" t="s">
        <v>17</v>
      </c>
      <c r="D22" s="127" t="s">
        <v>17</v>
      </c>
      <c r="E22" s="127">
        <v>0</v>
      </c>
      <c r="F22" s="127">
        <v>0</v>
      </c>
      <c r="G22" s="127">
        <v>0</v>
      </c>
      <c r="H22" s="127">
        <v>0</v>
      </c>
      <c r="I22" s="150">
        <v>0</v>
      </c>
    </row>
    <row r="23" spans="1:9">
      <c r="A23" s="83" t="s">
        <v>49</v>
      </c>
      <c r="B23" s="122" t="s">
        <v>171</v>
      </c>
      <c r="C23" s="128" t="s">
        <v>17</v>
      </c>
      <c r="D23" s="127" t="s">
        <v>17</v>
      </c>
      <c r="E23" s="127">
        <f>327.455828/E77</f>
        <v>7.2910679572328635E-2</v>
      </c>
      <c r="F23" s="127">
        <f>338.629752/F77</f>
        <v>6.8746448237567911E-2</v>
      </c>
      <c r="G23" s="127">
        <f>349.590609/G77</f>
        <v>6.5361716905329062E-2</v>
      </c>
      <c r="H23" s="127">
        <f>321.639972/H77</f>
        <v>5.7911439454653379E-2</v>
      </c>
      <c r="I23" s="150">
        <f>340.7442/I77</f>
        <v>5.7262917696401412E-2</v>
      </c>
    </row>
    <row r="24" spans="1:9">
      <c r="A24" s="83" t="s">
        <v>51</v>
      </c>
      <c r="B24" s="122" t="s">
        <v>171</v>
      </c>
      <c r="C24" s="128" t="s">
        <v>17</v>
      </c>
      <c r="D24" s="127" t="s">
        <v>17</v>
      </c>
      <c r="E24" s="127">
        <v>0</v>
      </c>
      <c r="F24" s="127">
        <v>0</v>
      </c>
      <c r="G24" s="127">
        <v>0</v>
      </c>
      <c r="H24" s="127">
        <v>0</v>
      </c>
      <c r="I24" s="150">
        <v>0</v>
      </c>
    </row>
    <row r="25" spans="1:9">
      <c r="A25" s="84" t="s">
        <v>72</v>
      </c>
      <c r="B25" s="123" t="s">
        <v>171</v>
      </c>
      <c r="C25" s="129" t="s">
        <v>17</v>
      </c>
      <c r="D25" s="130" t="s">
        <v>17</v>
      </c>
      <c r="E25" s="130">
        <f>919.826/E79</f>
        <v>8.9935197982354859E-2</v>
      </c>
      <c r="F25" s="130">
        <f>933.036/F79</f>
        <v>8.5710642021778902E-2</v>
      </c>
      <c r="G25" s="130">
        <f>993.529/G79</f>
        <v>8.0697484837798428E-2</v>
      </c>
      <c r="H25" s="130">
        <f>1163.363/H79</f>
        <v>8.595594632743421E-2</v>
      </c>
      <c r="I25" s="151">
        <f>1159.365/I79</f>
        <v>8.1059753032659679E-2</v>
      </c>
    </row>
    <row r="27" spans="1:9">
      <c r="A27" s="121" t="s">
        <v>161</v>
      </c>
      <c r="B27" s="119" t="s">
        <v>3</v>
      </c>
      <c r="C27" s="119">
        <v>2013</v>
      </c>
      <c r="D27" s="119">
        <v>2014</v>
      </c>
      <c r="E27" s="119">
        <v>2015</v>
      </c>
      <c r="F27" s="119">
        <v>2016</v>
      </c>
      <c r="G27" s="119">
        <v>2017</v>
      </c>
      <c r="H27" s="119">
        <v>2018</v>
      </c>
      <c r="I27" s="119">
        <v>2019</v>
      </c>
    </row>
    <row r="28" spans="1:9">
      <c r="A28" s="87" t="s">
        <v>71</v>
      </c>
      <c r="B28" s="122" t="s">
        <v>0</v>
      </c>
      <c r="C28" s="128" t="s">
        <v>17</v>
      </c>
      <c r="D28" s="127" t="s">
        <v>17</v>
      </c>
      <c r="E28" s="125">
        <v>0.38172098575856506</v>
      </c>
      <c r="F28" s="125">
        <v>0.39248463465453898</v>
      </c>
      <c r="G28" s="125">
        <v>0.37355259281675124</v>
      </c>
      <c r="H28" s="125">
        <v>0.40424232068334626</v>
      </c>
      <c r="I28" s="148">
        <v>0.40200000000000002</v>
      </c>
    </row>
    <row r="29" spans="1:9">
      <c r="A29" s="83" t="s">
        <v>50</v>
      </c>
      <c r="B29" s="122" t="s">
        <v>0</v>
      </c>
      <c r="C29" s="128" t="s">
        <v>17</v>
      </c>
      <c r="D29" s="127" t="s">
        <v>17</v>
      </c>
      <c r="E29" s="125">
        <v>0</v>
      </c>
      <c r="F29" s="125">
        <v>0</v>
      </c>
      <c r="G29" s="125">
        <v>0</v>
      </c>
      <c r="H29" s="125">
        <v>0</v>
      </c>
      <c r="I29" s="148">
        <v>0</v>
      </c>
    </row>
    <row r="30" spans="1:9">
      <c r="A30" s="83" t="s">
        <v>49</v>
      </c>
      <c r="B30" s="122" t="s">
        <v>0</v>
      </c>
      <c r="C30" s="128" t="s">
        <v>17</v>
      </c>
      <c r="D30" s="127" t="s">
        <v>17</v>
      </c>
      <c r="E30" s="125">
        <v>0.78179953230430455</v>
      </c>
      <c r="F30" s="125">
        <v>0.77868310271836327</v>
      </c>
      <c r="G30" s="125">
        <v>0.76589462728385327</v>
      </c>
      <c r="H30" s="125">
        <v>0.69253774218521613</v>
      </c>
      <c r="I30" s="148">
        <v>0.69699999999999995</v>
      </c>
    </row>
    <row r="31" spans="1:9">
      <c r="A31" s="83" t="s">
        <v>51</v>
      </c>
      <c r="B31" s="122" t="s">
        <v>0</v>
      </c>
      <c r="C31" s="128" t="s">
        <v>17</v>
      </c>
      <c r="D31" s="127" t="s">
        <v>17</v>
      </c>
      <c r="E31" s="125">
        <v>0</v>
      </c>
      <c r="F31" s="125">
        <v>0</v>
      </c>
      <c r="G31" s="125">
        <v>0</v>
      </c>
      <c r="H31" s="125">
        <v>0</v>
      </c>
      <c r="I31" s="148">
        <v>0</v>
      </c>
    </row>
    <row r="32" spans="1:9">
      <c r="A32" s="84" t="s">
        <v>72</v>
      </c>
      <c r="B32" s="123" t="s">
        <v>0</v>
      </c>
      <c r="C32" s="129" t="s">
        <v>17</v>
      </c>
      <c r="D32" s="130" t="s">
        <v>17</v>
      </c>
      <c r="E32" s="126">
        <v>0.83308622823671297</v>
      </c>
      <c r="F32" s="126">
        <v>0.80164468253409615</v>
      </c>
      <c r="G32" s="126">
        <v>0.7608855624771903</v>
      </c>
      <c r="H32" s="126">
        <v>0.81948108960653854</v>
      </c>
      <c r="I32" s="149">
        <v>0.78600000000000003</v>
      </c>
    </row>
    <row r="34" spans="1:10">
      <c r="A34" s="121" t="s">
        <v>162</v>
      </c>
      <c r="B34" s="119" t="s">
        <v>3</v>
      </c>
      <c r="C34" s="119">
        <v>2013</v>
      </c>
      <c r="D34" s="119">
        <v>2014</v>
      </c>
      <c r="E34" s="119">
        <v>2015</v>
      </c>
      <c r="F34" s="119">
        <v>2016</v>
      </c>
      <c r="G34" s="119">
        <v>2017</v>
      </c>
      <c r="H34" s="119">
        <v>2018</v>
      </c>
      <c r="I34" s="119" t="s">
        <v>179</v>
      </c>
    </row>
    <row r="35" spans="1:10">
      <c r="A35" s="87" t="s">
        <v>71</v>
      </c>
      <c r="B35" s="122" t="s">
        <v>177</v>
      </c>
      <c r="C35" s="128" t="s">
        <v>17</v>
      </c>
      <c r="D35" s="127" t="s">
        <v>17</v>
      </c>
      <c r="E35" s="127">
        <f>8458.694596/E80</f>
        <v>0.35213380394862065</v>
      </c>
      <c r="F35" s="127">
        <f>8831.02807/F80</f>
        <v>0.34284572384047907</v>
      </c>
      <c r="G35" s="127">
        <f>9843.7656157/G80</f>
        <v>0.34278830109473896</v>
      </c>
      <c r="H35" s="127">
        <f>10967.71179005/H80</f>
        <v>0.35685046230916517</v>
      </c>
      <c r="I35" s="150">
        <f>11330.87/I80</f>
        <v>0.34864356536985641</v>
      </c>
    </row>
    <row r="36" spans="1:10">
      <c r="A36" s="83" t="s">
        <v>50</v>
      </c>
      <c r="B36" s="122" t="s">
        <v>177</v>
      </c>
      <c r="C36" s="128" t="s">
        <v>17</v>
      </c>
      <c r="D36" s="127" t="s">
        <v>17</v>
      </c>
      <c r="E36" s="127">
        <f>666.88267/E76</f>
        <v>7.6046554038858002E-2</v>
      </c>
      <c r="F36" s="127">
        <f>585.749703/F76</f>
        <v>6.2042381977077038E-2</v>
      </c>
      <c r="G36" s="127">
        <f>675.7905777/G76</f>
        <v>6.4402161607975336E-2</v>
      </c>
      <c r="H36" s="127">
        <f>719.62327/H76</f>
        <v>6.5455881827334583E-2</v>
      </c>
      <c r="I36" s="150">
        <f>808.09/I76</f>
        <v>6.9471060648853208E-2</v>
      </c>
    </row>
    <row r="37" spans="1:10">
      <c r="A37" s="83" t="s">
        <v>49</v>
      </c>
      <c r="B37" s="122" t="s">
        <v>177</v>
      </c>
      <c r="C37" s="128" t="s">
        <v>17</v>
      </c>
      <c r="D37" s="127" t="s">
        <v>17</v>
      </c>
      <c r="E37" s="127">
        <f>1996.431/E77</f>
        <v>0.444521454445647</v>
      </c>
      <c r="F37" s="127">
        <f>2168.657/F77</f>
        <v>0.44026688533717301</v>
      </c>
      <c r="G37" s="127">
        <f>2288.092/G77</f>
        <v>0.42779645021113311</v>
      </c>
      <c r="H37" s="127">
        <f>2308.41100005/H77</f>
        <v>0.41563056679364291</v>
      </c>
      <c r="I37" s="150">
        <f>2442.83/I77</f>
        <v>0.4105237102679965</v>
      </c>
    </row>
    <row r="38" spans="1:10">
      <c r="A38" s="83" t="s">
        <v>51</v>
      </c>
      <c r="B38" s="122" t="s">
        <v>177</v>
      </c>
      <c r="C38" s="128" t="s">
        <v>17</v>
      </c>
      <c r="D38" s="127" t="s">
        <v>17</v>
      </c>
      <c r="E38" s="127">
        <f>145.19448/E78</f>
        <v>0.27240659846997128</v>
      </c>
      <c r="F38" s="127">
        <f>148.19243/F78</f>
        <v>0.29331090307360791</v>
      </c>
      <c r="G38" s="127">
        <f>163.30028/G78</f>
        <v>0.28998469535143595</v>
      </c>
      <c r="H38" s="127">
        <f>148.15572/H78</f>
        <v>0.2271181565939818</v>
      </c>
      <c r="I38" s="150">
        <f>139.87/I78</f>
        <v>0.22753732628073361</v>
      </c>
    </row>
    <row r="39" spans="1:10">
      <c r="A39" s="84" t="s">
        <v>72</v>
      </c>
      <c r="B39" s="123" t="s">
        <v>177</v>
      </c>
      <c r="C39" s="129" t="s">
        <v>17</v>
      </c>
      <c r="D39" s="130" t="s">
        <v>17</v>
      </c>
      <c r="E39" s="130">
        <f>5650.186446/E79</f>
        <v>0.55244213216220017</v>
      </c>
      <c r="F39" s="130">
        <f>5928.428937/F79</f>
        <v>0.54459790444394662</v>
      </c>
      <c r="G39" s="130">
        <f>6716.582758/G79</f>
        <v>0.54554153454556764</v>
      </c>
      <c r="H39" s="130">
        <f>7791.5218/H79</f>
        <v>0.57568242212433574</v>
      </c>
      <c r="I39" s="151">
        <f>7940.08/I79</f>
        <v>0.5551495205216308</v>
      </c>
    </row>
    <row r="41" spans="1:10">
      <c r="A41" s="30" t="s">
        <v>152</v>
      </c>
      <c r="B41" s="44" t="s">
        <v>3</v>
      </c>
      <c r="C41" s="119">
        <v>2013</v>
      </c>
      <c r="D41" s="119">
        <v>2014</v>
      </c>
      <c r="E41" s="119">
        <v>2015</v>
      </c>
      <c r="F41" s="119">
        <v>2016</v>
      </c>
      <c r="G41" s="119">
        <v>2017</v>
      </c>
      <c r="H41" s="119">
        <v>2018</v>
      </c>
      <c r="I41" s="119">
        <v>2019</v>
      </c>
      <c r="J41" s="117"/>
    </row>
    <row r="42" spans="1:10">
      <c r="A42" s="87" t="s">
        <v>71</v>
      </c>
      <c r="B42" s="35" t="s">
        <v>153</v>
      </c>
      <c r="C42" s="128" t="s">
        <v>17</v>
      </c>
      <c r="D42" s="127" t="s">
        <v>17</v>
      </c>
      <c r="E42" s="117">
        <v>185.36475399999998</v>
      </c>
      <c r="F42" s="117">
        <v>189.12400999999997</v>
      </c>
      <c r="G42" s="117">
        <v>205.24519800000002</v>
      </c>
      <c r="H42" s="117">
        <v>222.18333900000002</v>
      </c>
      <c r="I42" s="152">
        <v>238.86799999999999</v>
      </c>
      <c r="J42" s="117"/>
    </row>
    <row r="43" spans="1:10">
      <c r="A43" s="83" t="s">
        <v>50</v>
      </c>
      <c r="B43" s="35" t="s">
        <v>153</v>
      </c>
      <c r="C43" s="128" t="s">
        <v>17</v>
      </c>
      <c r="D43" s="127" t="s">
        <v>17</v>
      </c>
      <c r="E43" s="117">
        <v>169.69708199999999</v>
      </c>
      <c r="F43" s="117">
        <v>172.43362099999999</v>
      </c>
      <c r="G43" s="117">
        <v>187.239822</v>
      </c>
      <c r="H43" s="117">
        <v>202.82625400000001</v>
      </c>
      <c r="I43" s="152">
        <v>219.52</v>
      </c>
      <c r="J43" s="117"/>
    </row>
    <row r="44" spans="1:10">
      <c r="A44" s="83" t="s">
        <v>49</v>
      </c>
      <c r="B44" s="35" t="s">
        <v>153</v>
      </c>
      <c r="C44" s="128" t="s">
        <v>17</v>
      </c>
      <c r="D44" s="127" t="s">
        <v>17</v>
      </c>
      <c r="E44" s="117">
        <v>8.2059999999999995</v>
      </c>
      <c r="F44" s="117">
        <v>8.7720000000000002</v>
      </c>
      <c r="G44" s="117">
        <v>9.3889999999999993</v>
      </c>
      <c r="H44" s="117">
        <v>9.3643610000000006</v>
      </c>
      <c r="I44" s="152">
        <v>9.52</v>
      </c>
      <c r="J44" s="117"/>
    </row>
    <row r="45" spans="1:10">
      <c r="A45" s="83" t="s">
        <v>51</v>
      </c>
      <c r="B45" s="35" t="s">
        <v>153</v>
      </c>
      <c r="C45" s="128" t="s">
        <v>17</v>
      </c>
      <c r="D45" s="127" t="s">
        <v>17</v>
      </c>
      <c r="E45" s="117">
        <v>1.516518</v>
      </c>
      <c r="F45" s="117">
        <v>1.8021229999999999</v>
      </c>
      <c r="G45" s="117">
        <v>2.1766019999999999</v>
      </c>
      <c r="H45" s="117">
        <v>1.8329759999999999</v>
      </c>
      <c r="I45" s="152">
        <v>1.07</v>
      </c>
      <c r="J45" s="117"/>
    </row>
    <row r="46" spans="1:10">
      <c r="A46" s="84" t="s">
        <v>72</v>
      </c>
      <c r="B46" s="36" t="s">
        <v>153</v>
      </c>
      <c r="C46" s="129" t="s">
        <v>17</v>
      </c>
      <c r="D46" s="130" t="s">
        <v>17</v>
      </c>
      <c r="E46" s="71">
        <v>5.9451540000000005</v>
      </c>
      <c r="F46" s="71">
        <v>6.1162659999999995</v>
      </c>
      <c r="G46" s="71">
        <v>6.4397739999999999</v>
      </c>
      <c r="H46" s="71">
        <v>8.1597480000000004</v>
      </c>
      <c r="I46" s="153">
        <v>8.77</v>
      </c>
    </row>
    <row r="47" spans="1:10">
      <c r="A47" s="87"/>
      <c r="B47" s="34"/>
      <c r="C47" s="117"/>
      <c r="D47" s="117"/>
      <c r="E47" s="117"/>
      <c r="F47" s="117"/>
    </row>
    <row r="48" spans="1:10">
      <c r="A48" s="121" t="s">
        <v>163</v>
      </c>
      <c r="B48" s="119" t="s">
        <v>3</v>
      </c>
      <c r="C48" s="119">
        <v>2013</v>
      </c>
      <c r="D48" s="119">
        <v>2014</v>
      </c>
      <c r="E48" s="119">
        <v>2015</v>
      </c>
      <c r="F48" s="119">
        <v>2016</v>
      </c>
      <c r="G48" s="119">
        <v>2017</v>
      </c>
      <c r="H48" s="119">
        <v>2018</v>
      </c>
      <c r="I48" s="119">
        <v>2019</v>
      </c>
    </row>
    <row r="49" spans="1:9">
      <c r="A49" s="87" t="s">
        <v>71</v>
      </c>
      <c r="B49" s="35" t="s">
        <v>172</v>
      </c>
      <c r="C49" s="128" t="s">
        <v>17</v>
      </c>
      <c r="D49" s="127" t="s">
        <v>17</v>
      </c>
      <c r="E49" s="127">
        <f>1819.540956/E80</f>
        <v>7.5747134620462411E-2</v>
      </c>
      <c r="F49" s="127">
        <f>1913.99229/F80</f>
        <v>7.4306645487782499E-2</v>
      </c>
      <c r="G49" s="127">
        <f>2297.672517/G80</f>
        <v>8.0011581880649496E-2</v>
      </c>
      <c r="H49" s="127">
        <f>2670.174129/H80</f>
        <v>8.6878000682335449E-2</v>
      </c>
      <c r="I49" s="150">
        <f>2704.24/I74</f>
        <v>8.3207721491445966E-2</v>
      </c>
    </row>
    <row r="50" spans="1:9">
      <c r="A50" s="83" t="s">
        <v>50</v>
      </c>
      <c r="B50" s="35" t="s">
        <v>172</v>
      </c>
      <c r="C50" s="128" t="s">
        <v>17</v>
      </c>
      <c r="D50" s="127" t="s">
        <v>17</v>
      </c>
      <c r="E50" s="127">
        <v>0</v>
      </c>
      <c r="F50" s="127">
        <v>0</v>
      </c>
      <c r="G50" s="127">
        <f>0.66694/G77</f>
        <v>1.2469540757269074E-4</v>
      </c>
      <c r="H50" s="127">
        <f>2.7046/H76</f>
        <v>2.4600646667555524E-4</v>
      </c>
      <c r="I50" s="150">
        <v>0</v>
      </c>
    </row>
    <row r="51" spans="1:9">
      <c r="A51" s="83" t="s">
        <v>49</v>
      </c>
      <c r="B51" s="35" t="s">
        <v>172</v>
      </c>
      <c r="C51" s="128" t="s">
        <v>17</v>
      </c>
      <c r="D51" s="127" t="s">
        <v>17</v>
      </c>
      <c r="E51" s="127">
        <f>87.546/E77</f>
        <v>1.949282256732069E-2</v>
      </c>
      <c r="F51" s="127">
        <f>91.502/F77</f>
        <v>1.857615129645767E-2</v>
      </c>
      <c r="G51" s="127">
        <f>89.48/G77</f>
        <v>1.6729758403461133E-2</v>
      </c>
      <c r="H51" s="127">
        <f>87.724662/H77</f>
        <v>1.5794869712564618E-2</v>
      </c>
      <c r="I51" s="150">
        <f>81.63/I77</f>
        <v>1.3718126299896658E-2</v>
      </c>
    </row>
    <row r="52" spans="1:9">
      <c r="A52" s="83" t="s">
        <v>51</v>
      </c>
      <c r="B52" s="35" t="s">
        <v>172</v>
      </c>
      <c r="C52" s="128" t="s">
        <v>17</v>
      </c>
      <c r="D52" s="127" t="s">
        <v>17</v>
      </c>
      <c r="E52" s="127">
        <f>63.80647/E78</f>
        <v>0.1197104976241264</v>
      </c>
      <c r="F52" s="127">
        <f>56.664611/F78</f>
        <v>0.11215382745748009</v>
      </c>
      <c r="G52" s="127">
        <f>55.889336/G78</f>
        <v>9.9246933767376533E-2</v>
      </c>
      <c r="H52" s="127">
        <f>70.235736/H78</f>
        <v>0.10766922051569501</v>
      </c>
      <c r="I52" s="150">
        <f>65.55/I78</f>
        <v>0.10663524513978756</v>
      </c>
    </row>
    <row r="53" spans="1:9">
      <c r="A53" s="84" t="s">
        <v>72</v>
      </c>
      <c r="B53" s="123" t="s">
        <v>172</v>
      </c>
      <c r="C53" s="129" t="s">
        <v>17</v>
      </c>
      <c r="D53" s="130" t="s">
        <v>17</v>
      </c>
      <c r="E53" s="130">
        <f>1668.188486/E79</f>
        <v>0.16310569799102745</v>
      </c>
      <c r="F53" s="130">
        <f>1765.825679/F79</f>
        <v>0.16221244694270495</v>
      </c>
      <c r="G53" s="130">
        <f>2151.636241/G79</f>
        <v>0.1747625212093005</v>
      </c>
      <c r="H53" s="130">
        <f>2509.509131/H79</f>
        <v>0.18541696114836217</v>
      </c>
      <c r="I53" s="151">
        <f>2557.06/I79</f>
        <v>0.17878291313753025</v>
      </c>
    </row>
    <row r="55" spans="1:9">
      <c r="A55" s="121" t="s">
        <v>164</v>
      </c>
      <c r="B55" s="119" t="s">
        <v>3</v>
      </c>
      <c r="C55" s="119">
        <v>2013</v>
      </c>
      <c r="D55" s="119">
        <v>2014</v>
      </c>
      <c r="E55" s="119">
        <v>2013</v>
      </c>
      <c r="F55" s="119">
        <v>2015</v>
      </c>
      <c r="G55" s="119">
        <v>2017</v>
      </c>
      <c r="H55" s="119">
        <v>2018</v>
      </c>
      <c r="I55" s="119">
        <v>2019</v>
      </c>
    </row>
    <row r="56" spans="1:9">
      <c r="A56" s="87" t="s">
        <v>71</v>
      </c>
      <c r="B56" s="35" t="s">
        <v>172</v>
      </c>
      <c r="C56" s="128"/>
      <c r="D56" s="127"/>
      <c r="E56" s="117"/>
      <c r="F56" s="117"/>
      <c r="G56" s="117"/>
      <c r="H56" s="117"/>
      <c r="I56" s="152"/>
    </row>
    <row r="57" spans="1:9">
      <c r="A57" s="83" t="s">
        <v>50</v>
      </c>
      <c r="B57" s="35" t="s">
        <v>172</v>
      </c>
      <c r="C57" s="128" t="s">
        <v>17</v>
      </c>
      <c r="D57" s="127" t="s">
        <v>17</v>
      </c>
      <c r="E57" s="117">
        <f>133531.81/E76</f>
        <v>15.227017377841772</v>
      </c>
      <c r="F57" s="117">
        <f>141304.216/F76</f>
        <v>14.966887903045853</v>
      </c>
      <c r="G57" s="117">
        <f>144667.78/G76</f>
        <v>13.786693769446176</v>
      </c>
      <c r="H57" s="117">
        <f>147976.68/H76</f>
        <v>13.459742733557384</v>
      </c>
      <c r="I57" s="152">
        <f>154132.8/I76</f>
        <v>13.250713530395824</v>
      </c>
    </row>
    <row r="58" spans="1:9">
      <c r="A58" s="83" t="s">
        <v>49</v>
      </c>
      <c r="B58" s="35" t="s">
        <v>172</v>
      </c>
      <c r="C58" s="128" t="s">
        <v>17</v>
      </c>
      <c r="D58" s="127" t="s">
        <v>17</v>
      </c>
      <c r="E58" s="117">
        <v>0</v>
      </c>
      <c r="F58" s="117">
        <v>0</v>
      </c>
      <c r="G58" s="117">
        <v>0</v>
      </c>
      <c r="H58" s="117">
        <v>0</v>
      </c>
      <c r="I58" s="152">
        <v>0</v>
      </c>
    </row>
    <row r="59" spans="1:9">
      <c r="A59" s="83" t="s">
        <v>51</v>
      </c>
      <c r="B59" s="35" t="s">
        <v>172</v>
      </c>
      <c r="C59" s="128" t="s">
        <v>17</v>
      </c>
      <c r="D59" s="127" t="s">
        <v>17</v>
      </c>
      <c r="E59" s="117">
        <v>0</v>
      </c>
      <c r="F59" s="117">
        <v>0</v>
      </c>
      <c r="G59" s="117">
        <v>0</v>
      </c>
      <c r="H59" s="117">
        <v>0</v>
      </c>
      <c r="I59" s="152">
        <v>0</v>
      </c>
    </row>
    <row r="60" spans="1:9">
      <c r="A60" s="84" t="s">
        <v>72</v>
      </c>
      <c r="B60" s="123" t="s">
        <v>172</v>
      </c>
      <c r="C60" s="129" t="s">
        <v>17</v>
      </c>
      <c r="D60" s="130" t="s">
        <v>17</v>
      </c>
      <c r="E60" s="71">
        <v>0</v>
      </c>
      <c r="F60" s="71">
        <v>0</v>
      </c>
      <c r="G60" s="71">
        <v>0</v>
      </c>
      <c r="H60" s="71">
        <v>0</v>
      </c>
      <c r="I60" s="153">
        <v>0</v>
      </c>
    </row>
    <row r="62" spans="1:9">
      <c r="A62" s="47" t="s">
        <v>84</v>
      </c>
      <c r="B62" s="48" t="s">
        <v>3</v>
      </c>
      <c r="C62" s="49">
        <v>2013</v>
      </c>
      <c r="D62" s="49">
        <v>2014</v>
      </c>
      <c r="E62" s="49">
        <v>2015</v>
      </c>
      <c r="F62" s="49">
        <v>2016</v>
      </c>
      <c r="G62" s="49">
        <v>2017</v>
      </c>
      <c r="H62" s="49">
        <v>2018</v>
      </c>
      <c r="I62" s="49">
        <v>2019</v>
      </c>
    </row>
    <row r="63" spans="1:9">
      <c r="A63" s="32" t="s">
        <v>52</v>
      </c>
      <c r="B63" s="120" t="s">
        <v>1</v>
      </c>
      <c r="C63" s="51">
        <v>4372.5321619999995</v>
      </c>
      <c r="D63" s="51">
        <v>4518.1393589999998</v>
      </c>
      <c r="E63" s="51">
        <v>5080.8265190000002</v>
      </c>
      <c r="F63" s="51">
        <v>5591.5917499999996</v>
      </c>
      <c r="G63" s="51">
        <v>6251.5823550000005</v>
      </c>
      <c r="H63" s="131">
        <v>6536.0211339999996</v>
      </c>
      <c r="I63" s="154">
        <v>6899.5893500000002</v>
      </c>
    </row>
    <row r="64" spans="1:9">
      <c r="A64" s="32" t="s">
        <v>53</v>
      </c>
      <c r="B64" s="120" t="s">
        <v>1</v>
      </c>
      <c r="C64" s="51">
        <v>247.24600000000001</v>
      </c>
      <c r="D64" s="51">
        <v>252.08600000000001</v>
      </c>
      <c r="E64" s="51">
        <v>272.19780000000003</v>
      </c>
      <c r="F64" s="51">
        <v>338.63309100000004</v>
      </c>
      <c r="G64" s="51">
        <v>354.20138000000003</v>
      </c>
      <c r="H64" s="131">
        <v>356.11993999999993</v>
      </c>
      <c r="I64" s="154">
        <v>367.70609999999994</v>
      </c>
    </row>
    <row r="65" spans="1:9">
      <c r="A65" s="32" t="s">
        <v>54</v>
      </c>
      <c r="B65" s="120" t="s">
        <v>1</v>
      </c>
      <c r="C65" s="51">
        <v>1048.1130000000001</v>
      </c>
      <c r="D65" s="51">
        <v>1180.258</v>
      </c>
      <c r="E65" s="51">
        <v>1111.586</v>
      </c>
      <c r="F65" s="51">
        <v>1198.6479999999999</v>
      </c>
      <c r="G65" s="51">
        <v>1454.866</v>
      </c>
      <c r="H65" s="131">
        <v>1865.9880000000001</v>
      </c>
      <c r="I65" s="154">
        <v>1930.085</v>
      </c>
    </row>
    <row r="66" spans="1:9">
      <c r="A66" s="32" t="s">
        <v>55</v>
      </c>
      <c r="B66" s="120" t="s">
        <v>1</v>
      </c>
      <c r="C66" s="51">
        <v>323.89350000000002</v>
      </c>
      <c r="D66" s="51">
        <v>326.86192999999992</v>
      </c>
      <c r="E66" s="51">
        <v>367.82274000000001</v>
      </c>
      <c r="F66" s="51">
        <v>368.4606</v>
      </c>
      <c r="G66" s="51">
        <v>400.65863000000002</v>
      </c>
      <c r="H66" s="131">
        <v>429.34920000000005</v>
      </c>
      <c r="I66" s="154">
        <v>457.27226999999999</v>
      </c>
    </row>
    <row r="67" spans="1:9">
      <c r="A67" s="32" t="s">
        <v>56</v>
      </c>
      <c r="B67" s="120" t="s">
        <v>1</v>
      </c>
      <c r="C67" s="51">
        <v>406.49074999999999</v>
      </c>
      <c r="D67" s="51">
        <v>411.90854999999999</v>
      </c>
      <c r="E67" s="51">
        <v>455.32614999999998</v>
      </c>
      <c r="F67" s="51">
        <v>458.86559999999997</v>
      </c>
      <c r="G67" s="51">
        <v>496.43744999999996</v>
      </c>
      <c r="H67" s="131">
        <v>532.61374999999998</v>
      </c>
      <c r="I67" s="154">
        <v>566.41985</v>
      </c>
    </row>
    <row r="68" spans="1:9">
      <c r="A68" s="32" t="s">
        <v>57</v>
      </c>
      <c r="B68" s="120" t="s">
        <v>1</v>
      </c>
      <c r="C68" s="51">
        <v>903.10739999999987</v>
      </c>
      <c r="D68" s="51">
        <v>965.92969999999991</v>
      </c>
      <c r="E68" s="51">
        <v>978.12216999999987</v>
      </c>
      <c r="F68" s="51">
        <v>1036.1190100000001</v>
      </c>
      <c r="G68" s="51">
        <v>1238.7735799999998</v>
      </c>
      <c r="H68" s="131">
        <v>1589.63777</v>
      </c>
      <c r="I68" s="154">
        <v>1684.1218600000002</v>
      </c>
    </row>
    <row r="69" spans="1:9">
      <c r="A69" s="32" t="s">
        <v>58</v>
      </c>
      <c r="B69" s="120" t="s">
        <v>1</v>
      </c>
      <c r="C69" s="51">
        <v>4338.8249210000004</v>
      </c>
      <c r="D69" s="51">
        <v>4462.0870000000004</v>
      </c>
      <c r="E69" s="51">
        <v>4712.1419999999998</v>
      </c>
      <c r="F69" s="51">
        <v>4926.1260000000002</v>
      </c>
      <c r="G69" s="51">
        <v>5437.8290900000002</v>
      </c>
      <c r="H69" s="131">
        <v>5731.6799927500006</v>
      </c>
      <c r="I69" s="154">
        <v>6123.0059099999999</v>
      </c>
    </row>
    <row r="70" spans="1:9">
      <c r="A70" s="32" t="s">
        <v>59</v>
      </c>
      <c r="B70" s="120" t="s">
        <v>1</v>
      </c>
      <c r="C70" s="51">
        <v>1765.0146000000002</v>
      </c>
      <c r="D70" s="51">
        <v>1933.8893</v>
      </c>
      <c r="E70" s="51">
        <v>2114.2547713556883</v>
      </c>
      <c r="F70" s="51">
        <v>2259.5249461099997</v>
      </c>
      <c r="G70" s="51">
        <v>2469.1977529999999</v>
      </c>
      <c r="H70" s="131">
        <v>2546.2440999999999</v>
      </c>
      <c r="I70" s="154">
        <v>2684.0147000000002</v>
      </c>
    </row>
    <row r="71" spans="1:9">
      <c r="A71" s="32" t="s">
        <v>60</v>
      </c>
      <c r="B71" s="120" t="s">
        <v>1</v>
      </c>
      <c r="C71" s="51">
        <v>27.108000000000001</v>
      </c>
      <c r="D71" s="51">
        <v>27.385999999999999</v>
      </c>
      <c r="E71" s="51">
        <v>36.082900000000002</v>
      </c>
      <c r="F71" s="51">
        <v>46.024999999999999</v>
      </c>
      <c r="G71" s="51">
        <v>47.000500000000002</v>
      </c>
      <c r="H71" s="131">
        <v>48.287999999999997</v>
      </c>
      <c r="I71" s="154">
        <v>56.695999999999998</v>
      </c>
    </row>
    <row r="72" spans="1:9">
      <c r="A72" s="32" t="s">
        <v>61</v>
      </c>
      <c r="B72" s="120" t="s">
        <v>1</v>
      </c>
      <c r="C72" s="51">
        <v>8658.5849999999991</v>
      </c>
      <c r="D72" s="51">
        <v>8407.5130000000008</v>
      </c>
      <c r="E72" s="51">
        <v>8769.4002500000006</v>
      </c>
      <c r="F72" s="51">
        <v>9441.1220900000008</v>
      </c>
      <c r="G72" s="51">
        <v>10493.290300000001</v>
      </c>
      <c r="H72" s="131">
        <v>10994.01994</v>
      </c>
      <c r="I72" s="154">
        <v>11632.03775</v>
      </c>
    </row>
    <row r="73" spans="1:9">
      <c r="A73" s="32" t="s">
        <v>62</v>
      </c>
      <c r="B73" s="120" t="s">
        <v>1</v>
      </c>
      <c r="C73" s="51">
        <v>123.178127</v>
      </c>
      <c r="D73" s="51">
        <v>129.18092999999999</v>
      </c>
      <c r="E73" s="51">
        <v>123.49</v>
      </c>
      <c r="F73" s="51">
        <v>92.906999999999996</v>
      </c>
      <c r="G73" s="51">
        <v>72.912000000000006</v>
      </c>
      <c r="H73" s="131">
        <v>104.79389999999999</v>
      </c>
      <c r="I73" s="154">
        <v>98.919629999999998</v>
      </c>
    </row>
    <row r="74" spans="1:9">
      <c r="A74" s="55" t="s">
        <v>63</v>
      </c>
      <c r="B74" s="59" t="s">
        <v>1</v>
      </c>
      <c r="C74" s="56">
        <v>22214.093459999996</v>
      </c>
      <c r="D74" s="56">
        <v>22615.239769000003</v>
      </c>
      <c r="E74" s="56">
        <v>24021.251300355692</v>
      </c>
      <c r="F74" s="56">
        <v>25758.023087109999</v>
      </c>
      <c r="G74" s="56">
        <v>28716.749037999998</v>
      </c>
      <c r="H74" s="56">
        <v>30734.755726749998</v>
      </c>
      <c r="I74" s="133">
        <f>SUM(I63:I73)</f>
        <v>32499.868419999999</v>
      </c>
    </row>
    <row r="75" spans="1:9">
      <c r="A75" s="32"/>
      <c r="B75" s="60"/>
      <c r="C75" s="52"/>
      <c r="D75" s="52"/>
      <c r="E75" s="52"/>
      <c r="F75" s="52"/>
      <c r="G75" s="52"/>
      <c r="H75" s="132"/>
      <c r="I75" s="154"/>
    </row>
    <row r="76" spans="1:9">
      <c r="A76" s="32" t="s">
        <v>64</v>
      </c>
      <c r="B76" s="120" t="s">
        <v>1</v>
      </c>
      <c r="C76" s="51">
        <v>8658.5849999999991</v>
      </c>
      <c r="D76" s="51">
        <v>8407.5130000000008</v>
      </c>
      <c r="E76" s="51">
        <v>8769.4002500000006</v>
      </c>
      <c r="F76" s="51">
        <v>9441.1220900000008</v>
      </c>
      <c r="G76" s="51">
        <v>10493.290300000001</v>
      </c>
      <c r="H76" s="131">
        <v>10994.01994</v>
      </c>
      <c r="I76" s="154">
        <v>11632.03775</v>
      </c>
    </row>
    <row r="77" spans="1:9">
      <c r="A77" s="32" t="s">
        <v>65</v>
      </c>
      <c r="B77" s="120" t="s">
        <v>1</v>
      </c>
      <c r="C77" s="51">
        <v>4126.6875</v>
      </c>
      <c r="D77" s="51">
        <v>4297.3230000000003</v>
      </c>
      <c r="E77" s="51">
        <v>4491.1915500000005</v>
      </c>
      <c r="F77" s="51">
        <v>4925.7781409999998</v>
      </c>
      <c r="G77" s="51">
        <v>5348.55303</v>
      </c>
      <c r="H77" s="131">
        <v>5553.99719</v>
      </c>
      <c r="I77" s="154">
        <v>5950.5210999999999</v>
      </c>
    </row>
    <row r="78" spans="1:9">
      <c r="A78" s="32" t="s">
        <v>66</v>
      </c>
      <c r="B78" s="120" t="s">
        <v>1</v>
      </c>
      <c r="C78" s="51">
        <v>403.33886000000001</v>
      </c>
      <c r="D78" s="51">
        <v>444.28089999999997</v>
      </c>
      <c r="E78" s="51">
        <v>533.00647200000003</v>
      </c>
      <c r="F78" s="51">
        <v>505.2401000000001</v>
      </c>
      <c r="G78" s="51">
        <v>563.13413299999991</v>
      </c>
      <c r="H78" s="131">
        <v>652.32882400000005</v>
      </c>
      <c r="I78" s="154">
        <v>614.71233000000007</v>
      </c>
    </row>
    <row r="79" spans="1:9">
      <c r="A79" s="32" t="s">
        <v>67</v>
      </c>
      <c r="B79" s="120" t="s">
        <v>1</v>
      </c>
      <c r="C79" s="51">
        <v>9025.4820999999993</v>
      </c>
      <c r="D79" s="51">
        <v>9466.1228690000007</v>
      </c>
      <c r="E79" s="51">
        <v>10227.653028355688</v>
      </c>
      <c r="F79" s="51">
        <v>10885.882756109999</v>
      </c>
      <c r="G79" s="51">
        <v>12311.771574999999</v>
      </c>
      <c r="H79" s="131">
        <v>13534.409772749999</v>
      </c>
      <c r="I79" s="154">
        <v>14302.597240000001</v>
      </c>
    </row>
    <row r="80" spans="1:9">
      <c r="A80" s="55" t="s">
        <v>63</v>
      </c>
      <c r="B80" s="59" t="s">
        <v>1</v>
      </c>
      <c r="C80" s="56">
        <v>22214.09346</v>
      </c>
      <c r="D80" s="56">
        <v>22615.239769</v>
      </c>
      <c r="E80" s="56">
        <v>24021.251300355689</v>
      </c>
      <c r="F80" s="56">
        <v>25758.023087110003</v>
      </c>
      <c r="G80" s="56">
        <v>28716.749038000002</v>
      </c>
      <c r="H80" s="56">
        <v>30734.755726750001</v>
      </c>
      <c r="I80" s="134">
        <f>SUM(I76:I79)</f>
        <v>32499.868419999999</v>
      </c>
    </row>
    <row r="82" spans="1:1">
      <c r="A82" s="118" t="s">
        <v>181</v>
      </c>
    </row>
  </sheetData>
  <pageMargins left="0.25" right="0.25" top="0.75" bottom="0.75" header="0.3" footer="0.3"/>
  <pageSetup paperSize="9" scale="5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341"/>
  <sheetViews>
    <sheetView showGridLines="0" topLeftCell="A16" zoomScaleNormal="100" zoomScaleSheetLayoutView="100" workbookViewId="0">
      <selection activeCell="J15" sqref="J15"/>
    </sheetView>
  </sheetViews>
  <sheetFormatPr defaultRowHeight="14.4" zeroHeight="1"/>
  <cols>
    <col min="1" max="1" width="47.88671875" bestFit="1" customWidth="1"/>
    <col min="2" max="2" width="17.33203125" customWidth="1"/>
    <col min="3" max="3" width="12.6640625" bestFit="1" customWidth="1"/>
    <col min="4" max="4" width="10.88671875" customWidth="1"/>
    <col min="5" max="6" width="10.6640625" customWidth="1"/>
    <col min="7" max="7" width="10.88671875" customWidth="1"/>
    <col min="8" max="8" width="11" customWidth="1"/>
    <col min="9" max="9" width="11.109375" customWidth="1"/>
    <col min="10" max="10" width="12.6640625" bestFit="1" customWidth="1"/>
    <col min="11" max="11" width="10.88671875" style="8" customWidth="1"/>
  </cols>
  <sheetData>
    <row r="1" spans="1:11" ht="16.5" customHeight="1">
      <c r="A1" s="7"/>
      <c r="B1" s="9"/>
      <c r="C1" s="10"/>
      <c r="D1" s="10"/>
      <c r="E1" s="10"/>
      <c r="F1" s="10"/>
      <c r="G1" s="10"/>
      <c r="H1" s="10"/>
      <c r="I1" s="10"/>
      <c r="J1" s="10"/>
    </row>
    <row r="2" spans="1:11" ht="15.6">
      <c r="A2" s="74" t="s">
        <v>94</v>
      </c>
      <c r="B2" s="29"/>
      <c r="C2" s="29"/>
      <c r="D2" s="29"/>
      <c r="E2" s="29"/>
      <c r="F2" s="29"/>
      <c r="G2" s="29"/>
      <c r="H2" s="29"/>
      <c r="I2" s="29"/>
      <c r="J2" s="29"/>
      <c r="K2"/>
    </row>
    <row r="3" spans="1:11">
      <c r="A3" s="3"/>
      <c r="B3" s="3"/>
      <c r="C3" s="3"/>
      <c r="D3" s="3"/>
      <c r="E3" s="3"/>
      <c r="F3" s="3"/>
      <c r="G3" s="3"/>
      <c r="H3" s="3"/>
      <c r="I3" s="3"/>
    </row>
    <row r="4" spans="1:11">
      <c r="A4" s="3"/>
      <c r="B4" s="3"/>
      <c r="C4" s="3"/>
      <c r="D4" s="3"/>
      <c r="E4" s="3"/>
      <c r="F4" s="3"/>
      <c r="G4" s="3"/>
      <c r="H4" s="3"/>
      <c r="I4" s="3"/>
    </row>
    <row r="5" spans="1:11">
      <c r="C5" s="44" t="s">
        <v>3</v>
      </c>
      <c r="D5" s="41">
        <v>2013</v>
      </c>
      <c r="E5" s="41">
        <v>2014</v>
      </c>
      <c r="F5" s="41">
        <v>2015</v>
      </c>
      <c r="G5" s="41">
        <v>2016</v>
      </c>
      <c r="H5" s="41">
        <v>2017</v>
      </c>
      <c r="I5" s="41">
        <v>2018</v>
      </c>
      <c r="J5" s="119">
        <v>2019</v>
      </c>
      <c r="K5" s="119" t="s">
        <v>78</v>
      </c>
    </row>
    <row r="6" spans="1:11">
      <c r="A6" s="176" t="s">
        <v>136</v>
      </c>
      <c r="B6" s="177"/>
      <c r="C6" s="35" t="s">
        <v>4</v>
      </c>
      <c r="D6" s="127" t="s">
        <v>17</v>
      </c>
      <c r="E6" s="51">
        <v>1155</v>
      </c>
      <c r="F6" s="51">
        <v>2288</v>
      </c>
      <c r="G6" s="51">
        <v>1934</v>
      </c>
      <c r="H6" s="51">
        <v>1985</v>
      </c>
      <c r="I6" s="51">
        <v>1712</v>
      </c>
      <c r="J6" s="53">
        <v>2274</v>
      </c>
      <c r="K6"/>
    </row>
    <row r="7" spans="1:11">
      <c r="A7" s="178" t="s">
        <v>137</v>
      </c>
      <c r="B7" s="179"/>
      <c r="C7" s="35" t="s">
        <v>0</v>
      </c>
      <c r="D7" s="69">
        <v>4.0670418702455313</v>
      </c>
      <c r="E7" s="69">
        <v>3.6467656661651269</v>
      </c>
      <c r="F7" s="69">
        <v>4.0185965422054331</v>
      </c>
      <c r="G7" s="69">
        <v>4.4000000000000004</v>
      </c>
      <c r="H7" s="69">
        <v>5.6</v>
      </c>
      <c r="I7" s="69">
        <v>6</v>
      </c>
      <c r="J7" s="70">
        <v>7.3</v>
      </c>
      <c r="K7" s="138"/>
    </row>
    <row r="8" spans="1:11">
      <c r="A8" s="178" t="s">
        <v>165</v>
      </c>
      <c r="B8" s="179"/>
      <c r="C8" s="35" t="s">
        <v>4</v>
      </c>
      <c r="D8" s="51">
        <v>23267.991666666665</v>
      </c>
      <c r="E8" s="51">
        <v>19633.057500000006</v>
      </c>
      <c r="F8" s="51">
        <v>17519.972916666666</v>
      </c>
      <c r="G8" s="51">
        <v>17145.372499999998</v>
      </c>
      <c r="H8" s="51">
        <v>17220.03</v>
      </c>
      <c r="I8" s="51">
        <v>17457.969999999998</v>
      </c>
      <c r="J8" s="53">
        <v>17484</v>
      </c>
      <c r="K8" s="135"/>
    </row>
    <row r="9" spans="1:11">
      <c r="A9" s="178" t="s">
        <v>138</v>
      </c>
      <c r="B9" s="179"/>
      <c r="C9" s="35" t="s">
        <v>113</v>
      </c>
      <c r="D9" s="127" t="s">
        <v>17</v>
      </c>
      <c r="E9" s="127" t="s">
        <v>17</v>
      </c>
      <c r="F9" s="127" t="s">
        <v>17</v>
      </c>
      <c r="G9" s="51">
        <v>190841.74600000001</v>
      </c>
      <c r="H9" s="51">
        <v>201154.45749</v>
      </c>
      <c r="I9" s="51">
        <v>221830.69813999999</v>
      </c>
      <c r="J9" s="157">
        <v>225486.19900000002</v>
      </c>
      <c r="K9"/>
    </row>
    <row r="10" spans="1:11">
      <c r="A10" s="180" t="s">
        <v>139</v>
      </c>
      <c r="B10" s="181"/>
      <c r="C10" s="112" t="s">
        <v>113</v>
      </c>
      <c r="D10" s="127" t="s">
        <v>17</v>
      </c>
      <c r="E10" s="127" t="s">
        <v>17</v>
      </c>
      <c r="F10" s="127" t="s">
        <v>17</v>
      </c>
      <c r="G10" s="51">
        <v>14609.624</v>
      </c>
      <c r="H10" s="51">
        <v>31360.353090000001</v>
      </c>
      <c r="I10" s="51">
        <v>39582.314000000006</v>
      </c>
      <c r="J10" s="157">
        <v>64369.625</v>
      </c>
      <c r="K10" s="135"/>
    </row>
    <row r="11" spans="1:11">
      <c r="A11" s="178" t="s">
        <v>140</v>
      </c>
      <c r="B11" s="179"/>
      <c r="C11" s="112" t="s">
        <v>113</v>
      </c>
      <c r="D11" s="127" t="s">
        <v>17</v>
      </c>
      <c r="E11" s="127" t="s">
        <v>17</v>
      </c>
      <c r="F11" s="127" t="s">
        <v>17</v>
      </c>
      <c r="G11" s="51">
        <v>61749</v>
      </c>
      <c r="H11" s="51">
        <v>64613.796930000011</v>
      </c>
      <c r="I11" s="51">
        <v>70629.862400000013</v>
      </c>
      <c r="J11" s="157">
        <v>82533</v>
      </c>
      <c r="K11"/>
    </row>
    <row r="12" spans="1:11">
      <c r="A12" s="178" t="s">
        <v>141</v>
      </c>
      <c r="B12" s="179"/>
      <c r="C12" s="112" t="s">
        <v>113</v>
      </c>
      <c r="D12" s="127" t="s">
        <v>17</v>
      </c>
      <c r="E12" s="127" t="s">
        <v>17</v>
      </c>
      <c r="F12" s="127" t="s">
        <v>17</v>
      </c>
      <c r="G12" s="51">
        <v>25194.347000000002</v>
      </c>
      <c r="H12" s="51">
        <v>45356.43</v>
      </c>
      <c r="I12" s="51">
        <v>68916</v>
      </c>
      <c r="J12" s="157">
        <v>45001</v>
      </c>
      <c r="K12"/>
    </row>
    <row r="13" spans="1:11">
      <c r="A13" s="178" t="s">
        <v>142</v>
      </c>
      <c r="B13" s="179"/>
      <c r="C13" s="35" t="s">
        <v>143</v>
      </c>
      <c r="D13" s="127" t="s">
        <v>17</v>
      </c>
      <c r="E13" s="127" t="s">
        <v>17</v>
      </c>
      <c r="F13" s="127" t="s">
        <v>17</v>
      </c>
      <c r="G13" s="51">
        <v>11.982905008333885</v>
      </c>
      <c r="H13" s="51">
        <v>13.502578716761818</v>
      </c>
      <c r="I13" s="51">
        <v>14.973849315813926</v>
      </c>
      <c r="J13" s="157">
        <v>17</v>
      </c>
      <c r="K13"/>
    </row>
    <row r="14" spans="1:11" ht="27" customHeight="1">
      <c r="A14" s="178" t="s">
        <v>135</v>
      </c>
      <c r="B14" s="179"/>
      <c r="C14" s="112" t="s">
        <v>4</v>
      </c>
      <c r="D14" s="127" t="s">
        <v>17</v>
      </c>
      <c r="E14" s="127" t="s">
        <v>17</v>
      </c>
      <c r="F14" s="51">
        <v>638</v>
      </c>
      <c r="G14" s="51">
        <v>566</v>
      </c>
      <c r="H14" s="51">
        <v>554</v>
      </c>
      <c r="I14" s="51">
        <v>546</v>
      </c>
      <c r="J14" s="157">
        <v>550</v>
      </c>
      <c r="K14" s="135"/>
    </row>
    <row r="15" spans="1:11" ht="27" customHeight="1">
      <c r="A15" s="178" t="s">
        <v>166</v>
      </c>
      <c r="B15" s="179"/>
      <c r="C15" s="112" t="s">
        <v>4</v>
      </c>
      <c r="D15" s="127" t="s">
        <v>17</v>
      </c>
      <c r="E15" s="127" t="s">
        <v>17</v>
      </c>
      <c r="F15" s="51">
        <v>168</v>
      </c>
      <c r="G15" s="51">
        <v>120</v>
      </c>
      <c r="H15" s="51">
        <v>169</v>
      </c>
      <c r="I15" s="51">
        <v>133</v>
      </c>
      <c r="J15" s="53">
        <v>136</v>
      </c>
      <c r="K15" s="135"/>
    </row>
    <row r="16" spans="1:11" ht="27" customHeight="1">
      <c r="A16" s="178" t="s">
        <v>144</v>
      </c>
      <c r="B16" s="179"/>
      <c r="C16" s="112" t="s">
        <v>102</v>
      </c>
      <c r="D16" s="127" t="s">
        <v>17</v>
      </c>
      <c r="E16" s="51">
        <v>93</v>
      </c>
      <c r="F16" s="51">
        <v>92</v>
      </c>
      <c r="G16" s="51">
        <v>64</v>
      </c>
      <c r="H16" s="51">
        <v>91</v>
      </c>
      <c r="I16" s="51">
        <v>75</v>
      </c>
      <c r="J16" s="53">
        <v>82</v>
      </c>
      <c r="K16" s="113">
        <v>123</v>
      </c>
    </row>
    <row r="17" spans="1:11">
      <c r="A17" s="178" t="s">
        <v>145</v>
      </c>
      <c r="B17" s="179"/>
      <c r="C17" s="35" t="s">
        <v>0</v>
      </c>
      <c r="D17" s="127" t="s">
        <v>17</v>
      </c>
      <c r="E17" s="127" t="s">
        <v>17</v>
      </c>
      <c r="F17" s="127" t="s">
        <v>17</v>
      </c>
      <c r="G17" s="51">
        <v>0</v>
      </c>
      <c r="H17" s="51">
        <v>0</v>
      </c>
      <c r="I17" s="51">
        <v>0</v>
      </c>
      <c r="J17" s="158">
        <v>1</v>
      </c>
      <c r="K17"/>
    </row>
    <row r="18" spans="1:11">
      <c r="A18" s="178" t="s">
        <v>147</v>
      </c>
      <c r="B18" s="179"/>
      <c r="C18" s="35" t="s">
        <v>146</v>
      </c>
      <c r="D18" s="51">
        <v>40.6</v>
      </c>
      <c r="E18" s="51">
        <v>40.9</v>
      </c>
      <c r="F18" s="51">
        <v>40.200000000000003</v>
      </c>
      <c r="G18" s="51">
        <v>39.808804709495774</v>
      </c>
      <c r="H18" s="51">
        <v>38.6</v>
      </c>
      <c r="I18" s="51">
        <v>38.6</v>
      </c>
      <c r="J18" s="158">
        <v>39</v>
      </c>
      <c r="K18"/>
    </row>
    <row r="19" spans="1:11">
      <c r="A19" s="178" t="s">
        <v>148</v>
      </c>
      <c r="B19" s="179"/>
      <c r="C19" s="35" t="s">
        <v>0</v>
      </c>
      <c r="D19" s="51">
        <v>27</v>
      </c>
      <c r="E19" s="51">
        <v>37</v>
      </c>
      <c r="F19" s="51">
        <v>43</v>
      </c>
      <c r="G19" s="51">
        <v>52</v>
      </c>
      <c r="H19" s="51">
        <v>54</v>
      </c>
      <c r="I19" s="51">
        <v>62</v>
      </c>
      <c r="J19" s="53">
        <v>57</v>
      </c>
      <c r="K19" s="113">
        <v>65</v>
      </c>
    </row>
    <row r="20" spans="1:11">
      <c r="A20" s="186" t="s">
        <v>150</v>
      </c>
      <c r="B20" s="187"/>
      <c r="C20" s="36" t="s">
        <v>149</v>
      </c>
      <c r="D20" s="62">
        <v>44978.703012044862</v>
      </c>
      <c r="E20" s="62">
        <v>50296.160455201127</v>
      </c>
      <c r="F20" s="62">
        <v>61494.661093014722</v>
      </c>
      <c r="G20" s="62">
        <v>74887.914550442598</v>
      </c>
      <c r="H20" s="62">
        <v>76525.601310232407</v>
      </c>
      <c r="I20" s="62">
        <v>80672.098110002713</v>
      </c>
      <c r="J20" s="63">
        <v>87191</v>
      </c>
      <c r="K20" s="135"/>
    </row>
    <row r="21" spans="1:11"/>
    <row r="22" spans="1:11"/>
    <row r="23" spans="1:11" ht="15.6">
      <c r="A23" s="73" t="s">
        <v>95</v>
      </c>
      <c r="B23" s="29"/>
      <c r="C23" s="29"/>
      <c r="D23" s="29"/>
      <c r="E23" s="29"/>
      <c r="F23" s="29"/>
      <c r="G23" s="29"/>
      <c r="H23" s="29"/>
      <c r="I23" s="41"/>
      <c r="J23" s="119"/>
      <c r="K23"/>
    </row>
    <row r="24" spans="1:11"/>
    <row r="25" spans="1:11"/>
    <row r="26" spans="1:11">
      <c r="A26" s="30" t="s">
        <v>107</v>
      </c>
      <c r="B26" s="44" t="s">
        <v>96</v>
      </c>
      <c r="C26" s="44" t="s">
        <v>3</v>
      </c>
      <c r="D26" s="41">
        <v>2013</v>
      </c>
      <c r="E26" s="41">
        <v>2014</v>
      </c>
      <c r="F26" s="41">
        <v>2015</v>
      </c>
      <c r="G26" s="41">
        <v>2016</v>
      </c>
      <c r="H26" s="41">
        <v>2017</v>
      </c>
      <c r="I26" s="41">
        <v>2018</v>
      </c>
      <c r="J26" s="119">
        <v>2019</v>
      </c>
    </row>
    <row r="27" spans="1:11">
      <c r="A27" s="165" t="s">
        <v>97</v>
      </c>
      <c r="B27" s="42" t="s">
        <v>99</v>
      </c>
      <c r="C27" s="173" t="s">
        <v>102</v>
      </c>
      <c r="D27" s="50">
        <v>7</v>
      </c>
      <c r="E27" s="50">
        <v>4</v>
      </c>
      <c r="F27" s="50">
        <v>1</v>
      </c>
      <c r="G27" s="50">
        <v>0</v>
      </c>
      <c r="H27" s="50">
        <v>2</v>
      </c>
      <c r="I27" s="50">
        <v>0</v>
      </c>
      <c r="J27" s="75">
        <v>4</v>
      </c>
    </row>
    <row r="28" spans="1:11">
      <c r="A28" s="166"/>
      <c r="B28" s="42" t="s">
        <v>100</v>
      </c>
      <c r="C28" s="173"/>
      <c r="D28" s="50">
        <v>22</v>
      </c>
      <c r="E28" s="50">
        <v>14</v>
      </c>
      <c r="F28" s="50">
        <v>10</v>
      </c>
      <c r="G28" s="50">
        <v>9</v>
      </c>
      <c r="H28" s="50">
        <v>2</v>
      </c>
      <c r="I28" s="50">
        <v>2</v>
      </c>
      <c r="J28" s="75">
        <v>6</v>
      </c>
    </row>
    <row r="29" spans="1:11">
      <c r="A29" s="166"/>
      <c r="B29" s="42" t="s">
        <v>101</v>
      </c>
      <c r="C29" s="173"/>
      <c r="D29" s="50">
        <v>2</v>
      </c>
      <c r="E29" s="50">
        <v>0</v>
      </c>
      <c r="F29" s="50">
        <v>1</v>
      </c>
      <c r="G29" s="50">
        <v>0</v>
      </c>
      <c r="H29" s="50">
        <v>1</v>
      </c>
      <c r="I29" s="50">
        <v>1</v>
      </c>
      <c r="J29" s="75">
        <v>1</v>
      </c>
    </row>
    <row r="30" spans="1:11">
      <c r="A30" s="167"/>
      <c r="B30" s="36" t="s">
        <v>167</v>
      </c>
      <c r="C30" s="173"/>
      <c r="D30" s="50">
        <v>3</v>
      </c>
      <c r="E30" s="50">
        <v>0</v>
      </c>
      <c r="F30" s="50">
        <v>2</v>
      </c>
      <c r="G30" s="50">
        <v>0</v>
      </c>
      <c r="H30" s="50">
        <v>0</v>
      </c>
      <c r="I30" s="50">
        <v>1</v>
      </c>
      <c r="J30" s="75">
        <v>0</v>
      </c>
    </row>
    <row r="31" spans="1:11" ht="15" customHeight="1">
      <c r="A31" s="165" t="s">
        <v>98</v>
      </c>
      <c r="B31" s="42" t="s">
        <v>99</v>
      </c>
      <c r="C31" s="173" t="s">
        <v>102</v>
      </c>
      <c r="D31" s="76" t="s">
        <v>17</v>
      </c>
      <c r="E31" s="76">
        <v>1</v>
      </c>
      <c r="F31" s="76">
        <v>2</v>
      </c>
      <c r="G31" s="76">
        <v>1</v>
      </c>
      <c r="H31" s="76">
        <v>5</v>
      </c>
      <c r="I31" s="76">
        <v>11</v>
      </c>
      <c r="J31" s="75">
        <v>2</v>
      </c>
    </row>
    <row r="32" spans="1:11">
      <c r="A32" s="166"/>
      <c r="B32" s="42" t="s">
        <v>100</v>
      </c>
      <c r="C32" s="173"/>
      <c r="D32" s="76" t="s">
        <v>17</v>
      </c>
      <c r="E32" s="76">
        <v>3</v>
      </c>
      <c r="F32" s="76">
        <v>7</v>
      </c>
      <c r="G32" s="76">
        <v>4</v>
      </c>
      <c r="H32" s="76">
        <v>8</v>
      </c>
      <c r="I32" s="76">
        <v>5</v>
      </c>
      <c r="J32" s="75">
        <v>8</v>
      </c>
    </row>
    <row r="33" spans="1:10">
      <c r="A33" s="166"/>
      <c r="B33" s="42" t="s">
        <v>101</v>
      </c>
      <c r="C33" s="173"/>
      <c r="D33" s="76" t="s">
        <v>17</v>
      </c>
      <c r="E33" s="76">
        <v>1</v>
      </c>
      <c r="F33" s="76">
        <v>0</v>
      </c>
      <c r="G33" s="76">
        <v>3</v>
      </c>
      <c r="H33" s="76">
        <v>3</v>
      </c>
      <c r="I33" s="76">
        <v>2</v>
      </c>
      <c r="J33" s="75">
        <v>1</v>
      </c>
    </row>
    <row r="34" spans="1:10" ht="15" customHeight="1">
      <c r="A34" s="167"/>
      <c r="B34" s="36" t="s">
        <v>167</v>
      </c>
      <c r="C34" s="174"/>
      <c r="D34" s="77" t="s">
        <v>17</v>
      </c>
      <c r="E34" s="77">
        <v>0</v>
      </c>
      <c r="F34" s="77">
        <v>0</v>
      </c>
      <c r="G34" s="77">
        <v>1</v>
      </c>
      <c r="H34" s="77">
        <v>1</v>
      </c>
      <c r="I34" s="77">
        <v>0</v>
      </c>
      <c r="J34" s="78">
        <v>0</v>
      </c>
    </row>
    <row r="35" spans="1:10">
      <c r="A35" s="79" t="s">
        <v>103</v>
      </c>
      <c r="B35" s="36"/>
      <c r="C35" s="36" t="s">
        <v>102</v>
      </c>
      <c r="D35" s="77">
        <v>34</v>
      </c>
      <c r="E35" s="77">
        <v>23</v>
      </c>
      <c r="F35" s="77">
        <v>23</v>
      </c>
      <c r="G35" s="77">
        <v>18</v>
      </c>
      <c r="H35" s="77">
        <v>22</v>
      </c>
      <c r="I35" s="77">
        <v>22</v>
      </c>
      <c r="J35" s="78">
        <v>22</v>
      </c>
    </row>
    <row r="36" spans="1:10">
      <c r="A36" s="82"/>
      <c r="B36" s="34"/>
      <c r="C36" s="34"/>
      <c r="D36" s="76"/>
      <c r="E36" s="76"/>
      <c r="F36" s="76"/>
      <c r="G36" s="76"/>
      <c r="H36" s="76"/>
      <c r="I36" s="76"/>
    </row>
    <row r="37" spans="1:10">
      <c r="A37" s="30" t="s">
        <v>108</v>
      </c>
      <c r="B37" s="44" t="s">
        <v>96</v>
      </c>
      <c r="C37" s="44" t="s">
        <v>3</v>
      </c>
      <c r="D37" s="41">
        <v>2013</v>
      </c>
      <c r="E37" s="41">
        <v>2014</v>
      </c>
      <c r="F37" s="41">
        <v>2015</v>
      </c>
      <c r="G37" s="41">
        <v>2016</v>
      </c>
      <c r="H37" s="41">
        <v>2017</v>
      </c>
      <c r="I37" s="41">
        <v>2018</v>
      </c>
      <c r="J37" s="119">
        <v>2019</v>
      </c>
    </row>
    <row r="38" spans="1:10">
      <c r="A38" s="165" t="s">
        <v>173</v>
      </c>
      <c r="B38" s="42" t="s">
        <v>99</v>
      </c>
      <c r="C38" s="175" t="s">
        <v>102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1">
        <v>0</v>
      </c>
    </row>
    <row r="39" spans="1:10">
      <c r="A39" s="166"/>
      <c r="B39" s="42" t="s">
        <v>100</v>
      </c>
      <c r="C39" s="173"/>
      <c r="D39" s="76">
        <v>2</v>
      </c>
      <c r="E39" s="76">
        <v>5</v>
      </c>
      <c r="F39" s="76">
        <v>0</v>
      </c>
      <c r="G39" s="76">
        <v>1</v>
      </c>
      <c r="H39" s="76">
        <v>1</v>
      </c>
      <c r="I39" s="76">
        <v>0</v>
      </c>
      <c r="J39" s="75">
        <v>3</v>
      </c>
    </row>
    <row r="40" spans="1:10">
      <c r="A40" s="166"/>
      <c r="B40" s="42" t="s">
        <v>101</v>
      </c>
      <c r="C40" s="173"/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5">
        <v>0</v>
      </c>
    </row>
    <row r="41" spans="1:10">
      <c r="A41" s="167"/>
      <c r="B41" s="36" t="s">
        <v>167</v>
      </c>
      <c r="C41" s="173"/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5">
        <v>0</v>
      </c>
    </row>
    <row r="42" spans="1:10">
      <c r="A42" s="165" t="s">
        <v>174</v>
      </c>
      <c r="B42" s="42" t="s">
        <v>99</v>
      </c>
      <c r="C42" s="173" t="s">
        <v>102</v>
      </c>
      <c r="D42" s="76" t="s">
        <v>17</v>
      </c>
      <c r="E42" s="76">
        <v>1</v>
      </c>
      <c r="F42" s="76">
        <v>1</v>
      </c>
      <c r="G42" s="76">
        <v>1</v>
      </c>
      <c r="H42" s="76">
        <v>0</v>
      </c>
      <c r="I42" s="76">
        <v>1</v>
      </c>
      <c r="J42" s="75">
        <v>0</v>
      </c>
    </row>
    <row r="43" spans="1:10">
      <c r="A43" s="166"/>
      <c r="B43" s="42" t="s">
        <v>100</v>
      </c>
      <c r="C43" s="173"/>
      <c r="D43" s="76" t="s">
        <v>17</v>
      </c>
      <c r="E43" s="76">
        <v>3</v>
      </c>
      <c r="F43" s="76">
        <v>1</v>
      </c>
      <c r="G43" s="76">
        <v>0</v>
      </c>
      <c r="H43" s="76">
        <v>1</v>
      </c>
      <c r="I43" s="76">
        <v>1</v>
      </c>
      <c r="J43" s="75">
        <v>1</v>
      </c>
    </row>
    <row r="44" spans="1:10">
      <c r="A44" s="166"/>
      <c r="B44" s="42" t="s">
        <v>101</v>
      </c>
      <c r="C44" s="173"/>
      <c r="D44" s="76" t="s">
        <v>17</v>
      </c>
      <c r="E44" s="76">
        <v>0</v>
      </c>
      <c r="F44" s="76">
        <v>0</v>
      </c>
      <c r="G44" s="76">
        <v>1</v>
      </c>
      <c r="H44" s="76">
        <v>0</v>
      </c>
      <c r="I44" s="76">
        <v>0</v>
      </c>
      <c r="J44" s="75">
        <v>1</v>
      </c>
    </row>
    <row r="45" spans="1:10">
      <c r="A45" s="167"/>
      <c r="B45" s="36" t="s">
        <v>167</v>
      </c>
      <c r="C45" s="174"/>
      <c r="D45" s="77" t="s">
        <v>17</v>
      </c>
      <c r="E45" s="77">
        <v>2</v>
      </c>
      <c r="F45" s="77">
        <v>0</v>
      </c>
      <c r="G45" s="77">
        <v>0</v>
      </c>
      <c r="H45" s="77">
        <v>1</v>
      </c>
      <c r="I45" s="77">
        <v>0</v>
      </c>
      <c r="J45" s="78">
        <v>0</v>
      </c>
    </row>
    <row r="46" spans="1:10" ht="22.8">
      <c r="A46" s="79" t="s">
        <v>104</v>
      </c>
      <c r="B46" s="36"/>
      <c r="C46" s="106" t="s">
        <v>102</v>
      </c>
      <c r="D46" s="77">
        <v>2</v>
      </c>
      <c r="E46" s="77">
        <v>6</v>
      </c>
      <c r="F46" s="77">
        <v>2</v>
      </c>
      <c r="G46" s="77">
        <v>3</v>
      </c>
      <c r="H46" s="77">
        <v>3</v>
      </c>
      <c r="I46" s="77">
        <v>2</v>
      </c>
      <c r="J46" s="78">
        <v>5</v>
      </c>
    </row>
    <row r="47" spans="1:10">
      <c r="A47" s="82"/>
      <c r="B47" s="34"/>
      <c r="C47" s="34"/>
      <c r="D47" s="76"/>
      <c r="E47" s="76"/>
      <c r="F47" s="76"/>
      <c r="G47" s="76"/>
      <c r="H47" s="76"/>
      <c r="I47" s="76"/>
    </row>
    <row r="48" spans="1:10">
      <c r="A48" s="30" t="s">
        <v>109</v>
      </c>
      <c r="B48" s="44" t="s">
        <v>96</v>
      </c>
      <c r="C48" s="44" t="s">
        <v>3</v>
      </c>
      <c r="D48" s="41">
        <v>2013</v>
      </c>
      <c r="E48" s="41">
        <v>2014</v>
      </c>
      <c r="F48" s="41">
        <v>2015</v>
      </c>
      <c r="G48" s="41">
        <v>2016</v>
      </c>
      <c r="H48" s="41">
        <v>2017</v>
      </c>
      <c r="I48" s="41">
        <v>2018</v>
      </c>
      <c r="J48" s="119">
        <v>2019</v>
      </c>
    </row>
    <row r="49" spans="1:11">
      <c r="A49" s="165" t="s">
        <v>112</v>
      </c>
      <c r="B49" s="42" t="s">
        <v>99</v>
      </c>
      <c r="C49" s="168" t="s">
        <v>105</v>
      </c>
      <c r="D49" s="171">
        <v>0.22</v>
      </c>
      <c r="E49" s="163">
        <v>0.18</v>
      </c>
      <c r="F49" s="163">
        <v>0.15</v>
      </c>
      <c r="G49" s="163">
        <v>0.11</v>
      </c>
      <c r="H49" s="163">
        <v>7.0000000000000007E-2</v>
      </c>
      <c r="I49" s="163">
        <v>0.04</v>
      </c>
      <c r="J49" s="188">
        <v>0.15</v>
      </c>
    </row>
    <row r="50" spans="1:11">
      <c r="A50" s="166"/>
      <c r="B50" s="42" t="s">
        <v>100</v>
      </c>
      <c r="C50" s="169"/>
      <c r="D50" s="171"/>
      <c r="E50" s="163"/>
      <c r="F50" s="163"/>
      <c r="G50" s="163"/>
      <c r="H50" s="163"/>
      <c r="I50" s="163"/>
      <c r="J50" s="188"/>
    </row>
    <row r="51" spans="1:11">
      <c r="A51" s="166"/>
      <c r="B51" s="42" t="s">
        <v>101</v>
      </c>
      <c r="C51" s="169"/>
      <c r="D51" s="171"/>
      <c r="E51" s="163"/>
      <c r="F51" s="163"/>
      <c r="G51" s="163"/>
      <c r="H51" s="163"/>
      <c r="I51" s="163"/>
      <c r="J51" s="188"/>
    </row>
    <row r="52" spans="1:11">
      <c r="A52" s="167"/>
      <c r="B52" s="36" t="s">
        <v>167</v>
      </c>
      <c r="C52" s="170"/>
      <c r="D52" s="171"/>
      <c r="E52" s="163"/>
      <c r="F52" s="163"/>
      <c r="G52" s="163"/>
      <c r="H52" s="163"/>
      <c r="I52" s="163"/>
      <c r="J52" s="188"/>
    </row>
    <row r="53" spans="1:11">
      <c r="A53" s="165" t="s">
        <v>106</v>
      </c>
      <c r="B53" s="42" t="s">
        <v>99</v>
      </c>
      <c r="C53" s="168" t="s">
        <v>105</v>
      </c>
      <c r="D53" s="171">
        <v>1.03</v>
      </c>
      <c r="E53" s="163">
        <v>0.92</v>
      </c>
      <c r="F53" s="163">
        <v>0.73</v>
      </c>
      <c r="G53" s="163">
        <v>0.52</v>
      </c>
      <c r="H53" s="163">
        <v>0.34</v>
      </c>
      <c r="I53" s="163">
        <v>0.22</v>
      </c>
      <c r="J53" s="188">
        <v>0.75</v>
      </c>
    </row>
    <row r="54" spans="1:11">
      <c r="A54" s="166"/>
      <c r="B54" s="42" t="s">
        <v>100</v>
      </c>
      <c r="C54" s="169"/>
      <c r="D54" s="171"/>
      <c r="E54" s="163"/>
      <c r="F54" s="163"/>
      <c r="G54" s="163"/>
      <c r="H54" s="163"/>
      <c r="I54" s="163"/>
      <c r="J54" s="188"/>
    </row>
    <row r="55" spans="1:11">
      <c r="A55" s="166"/>
      <c r="B55" s="42" t="s">
        <v>101</v>
      </c>
      <c r="C55" s="169"/>
      <c r="D55" s="171"/>
      <c r="E55" s="163"/>
      <c r="F55" s="163"/>
      <c r="G55" s="163"/>
      <c r="H55" s="163"/>
      <c r="I55" s="163"/>
      <c r="J55" s="188"/>
    </row>
    <row r="56" spans="1:11">
      <c r="A56" s="167"/>
      <c r="B56" s="36" t="s">
        <v>167</v>
      </c>
      <c r="C56" s="170"/>
      <c r="D56" s="172"/>
      <c r="E56" s="164"/>
      <c r="F56" s="164"/>
      <c r="G56" s="164"/>
      <c r="H56" s="164"/>
      <c r="I56" s="164"/>
      <c r="J56" s="189"/>
    </row>
    <row r="57" spans="1:11"/>
    <row r="58" spans="1:11">
      <c r="A58" s="30" t="s">
        <v>110</v>
      </c>
      <c r="B58" s="44" t="s">
        <v>96</v>
      </c>
      <c r="C58" s="44" t="s">
        <v>3</v>
      </c>
      <c r="D58" s="41">
        <v>2013</v>
      </c>
      <c r="E58" s="41">
        <v>2014</v>
      </c>
      <c r="F58" s="41">
        <v>2015</v>
      </c>
      <c r="G58" s="41">
        <v>2016</v>
      </c>
      <c r="H58" s="41">
        <v>2017</v>
      </c>
      <c r="I58" s="41">
        <v>2018</v>
      </c>
      <c r="J58" s="119">
        <v>2019</v>
      </c>
    </row>
    <row r="59" spans="1:11">
      <c r="A59" s="165" t="s">
        <v>111</v>
      </c>
      <c r="B59" s="42" t="s">
        <v>99</v>
      </c>
      <c r="C59" s="175" t="s">
        <v>105</v>
      </c>
      <c r="D59" s="171">
        <v>1.2E-2</v>
      </c>
      <c r="E59" s="163">
        <v>2.5999999999999999E-2</v>
      </c>
      <c r="F59" s="163">
        <v>0</v>
      </c>
      <c r="G59" s="163">
        <v>1.0999999999999999E-2</v>
      </c>
      <c r="H59" s="163">
        <v>1.0999999999999999E-2</v>
      </c>
      <c r="I59" s="163">
        <v>0</v>
      </c>
      <c r="J59" s="190">
        <v>0.03</v>
      </c>
    </row>
    <row r="60" spans="1:11">
      <c r="A60" s="166"/>
      <c r="B60" s="42" t="s">
        <v>100</v>
      </c>
      <c r="C60" s="173"/>
      <c r="D60" s="171"/>
      <c r="E60" s="163"/>
      <c r="F60" s="163"/>
      <c r="G60" s="163"/>
      <c r="H60" s="163"/>
      <c r="I60" s="163"/>
      <c r="J60" s="190"/>
    </row>
    <row r="61" spans="1:11">
      <c r="A61" s="166"/>
      <c r="B61" s="42" t="s">
        <v>101</v>
      </c>
      <c r="C61" s="173"/>
      <c r="D61" s="171"/>
      <c r="E61" s="163"/>
      <c r="F61" s="163"/>
      <c r="G61" s="163"/>
      <c r="H61" s="163"/>
      <c r="I61" s="163"/>
      <c r="J61" s="190"/>
    </row>
    <row r="62" spans="1:11">
      <c r="A62" s="167"/>
      <c r="B62" s="36" t="s">
        <v>167</v>
      </c>
      <c r="C62" s="174"/>
      <c r="D62" s="172"/>
      <c r="E62" s="164"/>
      <c r="F62" s="164"/>
      <c r="G62" s="164"/>
      <c r="H62" s="164"/>
      <c r="I62" s="164"/>
      <c r="J62" s="191"/>
    </row>
    <row r="63" spans="1:11"/>
    <row r="64" spans="1:11">
      <c r="A64" s="47" t="s">
        <v>43</v>
      </c>
      <c r="B64" s="48"/>
      <c r="C64" s="48"/>
      <c r="D64" s="49">
        <v>2013</v>
      </c>
      <c r="E64" s="49">
        <v>2014</v>
      </c>
      <c r="F64" s="49">
        <v>2015</v>
      </c>
      <c r="G64" s="49">
        <v>2016</v>
      </c>
      <c r="H64" s="49">
        <v>2017</v>
      </c>
      <c r="I64" s="49">
        <v>2018</v>
      </c>
      <c r="J64" s="49">
        <v>2019</v>
      </c>
      <c r="K64"/>
    </row>
    <row r="65" spans="1:10">
      <c r="A65" s="182" t="s">
        <v>114</v>
      </c>
      <c r="B65" s="183"/>
      <c r="C65" s="115" t="s">
        <v>113</v>
      </c>
      <c r="D65" s="85">
        <v>386340.2</v>
      </c>
      <c r="E65" s="117">
        <v>877346.54300000006</v>
      </c>
      <c r="F65" s="117">
        <v>768973.2</v>
      </c>
      <c r="G65" s="117">
        <v>1015420</v>
      </c>
      <c r="H65" s="117">
        <v>926609.71000000008</v>
      </c>
      <c r="I65" s="117">
        <v>929476.2</v>
      </c>
      <c r="J65" s="146">
        <v>1006608.7</v>
      </c>
    </row>
    <row r="66" spans="1:10" ht="15" customHeight="1">
      <c r="A66" s="182" t="s">
        <v>99</v>
      </c>
      <c r="B66" s="183"/>
      <c r="C66" s="115" t="s">
        <v>113</v>
      </c>
      <c r="D66" s="85">
        <v>215893.5</v>
      </c>
      <c r="E66" s="117">
        <v>156150.6</v>
      </c>
      <c r="F66" s="117">
        <v>167615.9</v>
      </c>
      <c r="G66" s="117">
        <v>335419.5</v>
      </c>
      <c r="H66" s="117">
        <v>361073</v>
      </c>
      <c r="I66" s="117">
        <v>383604.2</v>
      </c>
      <c r="J66" s="146">
        <v>389334.6</v>
      </c>
    </row>
    <row r="67" spans="1:10">
      <c r="A67" s="182" t="s">
        <v>100</v>
      </c>
      <c r="B67" s="183"/>
      <c r="C67" s="115" t="s">
        <v>113</v>
      </c>
      <c r="D67" s="85" t="s">
        <v>17</v>
      </c>
      <c r="E67" s="117">
        <v>583807.80000000005</v>
      </c>
      <c r="F67" s="117">
        <v>456279.2</v>
      </c>
      <c r="G67" s="117">
        <v>514464.2</v>
      </c>
      <c r="H67" s="117">
        <v>460164.8</v>
      </c>
      <c r="I67" s="117">
        <v>403350.5</v>
      </c>
      <c r="J67" s="146">
        <v>464613.1</v>
      </c>
    </row>
    <row r="68" spans="1:10">
      <c r="A68" s="182" t="s">
        <v>101</v>
      </c>
      <c r="B68" s="183"/>
      <c r="C68" s="115" t="s">
        <v>113</v>
      </c>
      <c r="D68" s="85">
        <v>118050</v>
      </c>
      <c r="E68" s="117">
        <v>103830.643</v>
      </c>
      <c r="F68" s="117">
        <v>108389.1</v>
      </c>
      <c r="G68" s="117">
        <v>96307.8</v>
      </c>
      <c r="H68" s="117">
        <v>53360.11</v>
      </c>
      <c r="I68" s="117">
        <v>114575.5</v>
      </c>
      <c r="J68" s="146">
        <v>106838.6</v>
      </c>
    </row>
    <row r="69" spans="1:10">
      <c r="A69" s="184" t="s">
        <v>167</v>
      </c>
      <c r="B69" s="185"/>
      <c r="C69" s="116" t="s">
        <v>113</v>
      </c>
      <c r="D69" s="86">
        <v>52396.7</v>
      </c>
      <c r="E69" s="71">
        <v>33557.5</v>
      </c>
      <c r="F69" s="71">
        <v>36689</v>
      </c>
      <c r="G69" s="71">
        <v>69228.5</v>
      </c>
      <c r="H69" s="71">
        <v>52011.8</v>
      </c>
      <c r="I69" s="71">
        <v>27946</v>
      </c>
      <c r="J69" s="147">
        <v>45822.400000000001</v>
      </c>
    </row>
    <row r="70" spans="1:10">
      <c r="I70" s="8"/>
    </row>
    <row r="71" spans="1:10">
      <c r="A71" s="88" t="s">
        <v>115</v>
      </c>
    </row>
    <row r="72" spans="1:10"/>
    <row r="73" spans="1:10"/>
    <row r="74" spans="1:10"/>
    <row r="75" spans="1:10"/>
    <row r="76" spans="1:10"/>
    <row r="77" spans="1:10"/>
    <row r="78" spans="1:10"/>
    <row r="79" spans="1:10"/>
    <row r="80" spans="1:1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 hidden="1"/>
    <row r="142" hidden="1"/>
    <row r="143" hidden="1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</sheetData>
  <mergeCells count="55">
    <mergeCell ref="J49:J52"/>
    <mergeCell ref="J53:J56"/>
    <mergeCell ref="J59:J62"/>
    <mergeCell ref="A65:B65"/>
    <mergeCell ref="A66:B66"/>
    <mergeCell ref="C49:C52"/>
    <mergeCell ref="D49:D52"/>
    <mergeCell ref="E49:E52"/>
    <mergeCell ref="F49:F52"/>
    <mergeCell ref="G49:G52"/>
    <mergeCell ref="H49:H52"/>
    <mergeCell ref="I49:I52"/>
    <mergeCell ref="G53:G56"/>
    <mergeCell ref="H53:H56"/>
    <mergeCell ref="I53:I56"/>
    <mergeCell ref="C59:C62"/>
    <mergeCell ref="A67:B67"/>
    <mergeCell ref="A68:B68"/>
    <mergeCell ref="A69:B69"/>
    <mergeCell ref="A16:B16"/>
    <mergeCell ref="A17:B17"/>
    <mergeCell ref="A18:B18"/>
    <mergeCell ref="A19:B19"/>
    <mergeCell ref="A20:B20"/>
    <mergeCell ref="A27:A30"/>
    <mergeCell ref="A31:A34"/>
    <mergeCell ref="A49:A52"/>
    <mergeCell ref="A59:A62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C27:C30"/>
    <mergeCell ref="C31:C34"/>
    <mergeCell ref="A38:A41"/>
    <mergeCell ref="C38:C41"/>
    <mergeCell ref="A42:A45"/>
    <mergeCell ref="C42:C45"/>
    <mergeCell ref="I59:I62"/>
    <mergeCell ref="A53:A56"/>
    <mergeCell ref="C53:C56"/>
    <mergeCell ref="D53:D56"/>
    <mergeCell ref="E53:E56"/>
    <mergeCell ref="F53:F56"/>
    <mergeCell ref="D59:D62"/>
    <mergeCell ref="E59:E62"/>
    <mergeCell ref="F59:F62"/>
    <mergeCell ref="G59:G62"/>
    <mergeCell ref="H59:H62"/>
  </mergeCells>
  <pageMargins left="0.25" right="0.25" top="0.75" bottom="0.75" header="0.3" footer="0.3"/>
  <pageSetup paperSize="9" scale="56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95"/>
  <sheetViews>
    <sheetView showGridLines="0" topLeftCell="A21" zoomScaleNormal="100" zoomScaleSheetLayoutView="100" workbookViewId="0">
      <selection activeCell="L77" sqref="L77"/>
    </sheetView>
  </sheetViews>
  <sheetFormatPr defaultRowHeight="14.4"/>
  <cols>
    <col min="1" max="1" width="73.88671875" style="4" bestFit="1" customWidth="1"/>
    <col min="2" max="2" width="16.44140625" style="4" bestFit="1" customWidth="1"/>
    <col min="3" max="3" width="9.109375" style="4" customWidth="1"/>
    <col min="4" max="4" width="8.88671875" style="4" customWidth="1"/>
    <col min="5" max="5" width="9" style="4" customWidth="1"/>
    <col min="6" max="6" width="8.88671875" style="4" customWidth="1"/>
    <col min="7" max="7" width="9.109375" style="4" customWidth="1"/>
    <col min="8" max="8" width="8.88671875" style="4" customWidth="1"/>
    <col min="9" max="9" width="11.33203125" style="4" bestFit="1" customWidth="1"/>
  </cols>
  <sheetData>
    <row r="1" spans="1:12">
      <c r="I1" s="5"/>
      <c r="J1" s="8"/>
      <c r="K1" s="8"/>
      <c r="L1" s="8"/>
    </row>
    <row r="2" spans="1:12" ht="15.6">
      <c r="A2" s="74" t="s">
        <v>123</v>
      </c>
      <c r="B2" s="29"/>
      <c r="C2" s="29"/>
      <c r="D2" s="29"/>
      <c r="E2" s="29"/>
      <c r="F2" s="29"/>
      <c r="G2" s="41"/>
      <c r="H2" s="41"/>
      <c r="I2" s="119"/>
    </row>
    <row r="3" spans="1:12">
      <c r="I3" s="5"/>
    </row>
    <row r="5" spans="1:12">
      <c r="A5" s="30" t="s">
        <v>170</v>
      </c>
      <c r="B5" s="30"/>
      <c r="C5" s="30"/>
      <c r="D5" s="30"/>
      <c r="E5" s="30"/>
      <c r="F5" s="30"/>
      <c r="G5" s="30"/>
      <c r="H5" s="30"/>
      <c r="I5" s="30"/>
    </row>
    <row r="7" spans="1:12">
      <c r="A7" s="30" t="s">
        <v>30</v>
      </c>
      <c r="B7" s="44" t="s">
        <v>3</v>
      </c>
      <c r="C7" s="41">
        <v>2013</v>
      </c>
      <c r="D7" s="41">
        <v>2014</v>
      </c>
      <c r="E7" s="41">
        <v>2015</v>
      </c>
      <c r="F7" s="41">
        <v>2016</v>
      </c>
      <c r="G7" s="41">
        <v>2017</v>
      </c>
      <c r="H7" s="41" t="s">
        <v>116</v>
      </c>
      <c r="I7" s="119" t="s">
        <v>176</v>
      </c>
    </row>
    <row r="8" spans="1:12">
      <c r="A8" s="32" t="s">
        <v>8</v>
      </c>
      <c r="B8" s="35" t="s">
        <v>4</v>
      </c>
      <c r="C8" s="91">
        <v>8</v>
      </c>
      <c r="D8" s="91">
        <v>8</v>
      </c>
      <c r="E8" s="91">
        <v>8</v>
      </c>
      <c r="F8" s="91">
        <v>8</v>
      </c>
      <c r="G8" s="91">
        <v>10</v>
      </c>
      <c r="H8" s="91">
        <v>10</v>
      </c>
      <c r="I8" s="139">
        <v>10</v>
      </c>
    </row>
    <row r="9" spans="1:12">
      <c r="A9" s="32" t="s">
        <v>5</v>
      </c>
      <c r="B9" s="35" t="s">
        <v>4</v>
      </c>
      <c r="C9" s="91">
        <v>3</v>
      </c>
      <c r="D9" s="91">
        <v>3</v>
      </c>
      <c r="E9" s="91">
        <v>3</v>
      </c>
      <c r="F9" s="91">
        <v>3</v>
      </c>
      <c r="G9" s="91">
        <v>5</v>
      </c>
      <c r="H9" s="91">
        <v>7</v>
      </c>
      <c r="I9" s="139">
        <v>7</v>
      </c>
    </row>
    <row r="10" spans="1:12">
      <c r="A10" s="89" t="s">
        <v>10</v>
      </c>
      <c r="B10" s="90" t="s">
        <v>0</v>
      </c>
      <c r="C10" s="92">
        <f t="shared" ref="C10:G10" si="0">C9/C8</f>
        <v>0.375</v>
      </c>
      <c r="D10" s="92">
        <f t="shared" si="0"/>
        <v>0.375</v>
      </c>
      <c r="E10" s="92">
        <f t="shared" si="0"/>
        <v>0.375</v>
      </c>
      <c r="F10" s="92">
        <f t="shared" si="0"/>
        <v>0.375</v>
      </c>
      <c r="G10" s="92">
        <f t="shared" si="0"/>
        <v>0.5</v>
      </c>
      <c r="H10" s="92">
        <f>H9/H8</f>
        <v>0.7</v>
      </c>
      <c r="I10" s="140">
        <f>I9/I8</f>
        <v>0.7</v>
      </c>
    </row>
    <row r="11" spans="1:12">
      <c r="A11" s="32" t="s">
        <v>117</v>
      </c>
      <c r="B11" s="35" t="s">
        <v>36</v>
      </c>
      <c r="C11" s="91" t="s">
        <v>20</v>
      </c>
      <c r="D11" s="91" t="s">
        <v>20</v>
      </c>
      <c r="E11" s="91" t="s">
        <v>20</v>
      </c>
      <c r="F11" s="91" t="s">
        <v>20</v>
      </c>
      <c r="G11" s="91" t="s">
        <v>20</v>
      </c>
      <c r="H11" s="91" t="s">
        <v>20</v>
      </c>
      <c r="I11" s="139" t="s">
        <v>20</v>
      </c>
    </row>
    <row r="12" spans="1:12">
      <c r="A12" s="32" t="s">
        <v>6</v>
      </c>
      <c r="B12" s="35" t="s">
        <v>4</v>
      </c>
      <c r="C12" s="91">
        <v>4</v>
      </c>
      <c r="D12" s="91">
        <v>2</v>
      </c>
      <c r="E12" s="91">
        <v>2</v>
      </c>
      <c r="F12" s="91">
        <v>3</v>
      </c>
      <c r="G12" s="91">
        <v>2</v>
      </c>
      <c r="H12" s="91">
        <v>1</v>
      </c>
      <c r="I12" s="91">
        <v>1</v>
      </c>
    </row>
    <row r="13" spans="1:12">
      <c r="A13" s="89" t="s">
        <v>22</v>
      </c>
      <c r="B13" s="90" t="s">
        <v>0</v>
      </c>
      <c r="C13" s="92">
        <f t="shared" ref="C13:G13" si="1">C12/C8</f>
        <v>0.5</v>
      </c>
      <c r="D13" s="92">
        <f t="shared" si="1"/>
        <v>0.25</v>
      </c>
      <c r="E13" s="92">
        <f t="shared" si="1"/>
        <v>0.25</v>
      </c>
      <c r="F13" s="92">
        <f t="shared" si="1"/>
        <v>0.375</v>
      </c>
      <c r="G13" s="92">
        <f t="shared" si="1"/>
        <v>0.2</v>
      </c>
      <c r="H13" s="92">
        <f>H12/H8</f>
        <v>0.1</v>
      </c>
      <c r="I13" s="92">
        <f>I12/I8</f>
        <v>0.1</v>
      </c>
    </row>
    <row r="14" spans="1:12">
      <c r="A14" s="32" t="s">
        <v>7</v>
      </c>
      <c r="B14" s="35" t="s">
        <v>4</v>
      </c>
      <c r="C14" s="91">
        <v>4</v>
      </c>
      <c r="D14" s="91">
        <v>3</v>
      </c>
      <c r="E14" s="91">
        <v>3</v>
      </c>
      <c r="F14" s="91">
        <v>2</v>
      </c>
      <c r="G14" s="91">
        <v>3</v>
      </c>
      <c r="H14" s="91">
        <v>2</v>
      </c>
      <c r="I14" s="91">
        <v>2</v>
      </c>
    </row>
    <row r="15" spans="1:12">
      <c r="A15" s="89" t="s">
        <v>23</v>
      </c>
      <c r="B15" s="90" t="s">
        <v>0</v>
      </c>
      <c r="C15" s="92">
        <f t="shared" ref="C15:G15" si="2">C14/C8</f>
        <v>0.5</v>
      </c>
      <c r="D15" s="92">
        <f t="shared" si="2"/>
        <v>0.375</v>
      </c>
      <c r="E15" s="92">
        <f t="shared" si="2"/>
        <v>0.375</v>
      </c>
      <c r="F15" s="92">
        <f t="shared" si="2"/>
        <v>0.25</v>
      </c>
      <c r="G15" s="92">
        <f t="shared" si="2"/>
        <v>0.3</v>
      </c>
      <c r="H15" s="92">
        <f>H14/H8</f>
        <v>0.2</v>
      </c>
      <c r="I15" s="92">
        <f>I14/I8</f>
        <v>0.2</v>
      </c>
    </row>
    <row r="16" spans="1:12">
      <c r="A16" s="32" t="s">
        <v>2</v>
      </c>
      <c r="B16" s="35" t="s">
        <v>4</v>
      </c>
      <c r="C16" s="91">
        <v>0</v>
      </c>
      <c r="D16" s="91">
        <v>0</v>
      </c>
      <c r="E16" s="91">
        <v>0</v>
      </c>
      <c r="F16" s="91">
        <v>0</v>
      </c>
      <c r="G16" s="91">
        <v>1</v>
      </c>
      <c r="H16" s="91">
        <v>2</v>
      </c>
      <c r="I16" s="91">
        <v>2</v>
      </c>
    </row>
    <row r="17" spans="1:9">
      <c r="A17" s="32" t="s">
        <v>35</v>
      </c>
      <c r="B17" s="35" t="s">
        <v>16</v>
      </c>
      <c r="C17" s="91">
        <v>13</v>
      </c>
      <c r="D17" s="91">
        <v>9</v>
      </c>
      <c r="E17" s="91">
        <v>9</v>
      </c>
      <c r="F17" s="91">
        <v>10</v>
      </c>
      <c r="G17" s="91">
        <v>12</v>
      </c>
      <c r="H17" s="91">
        <v>9</v>
      </c>
      <c r="I17" s="141">
        <v>8</v>
      </c>
    </row>
    <row r="18" spans="1:9">
      <c r="A18" s="96" t="s">
        <v>34</v>
      </c>
      <c r="B18" s="97" t="s">
        <v>16</v>
      </c>
      <c r="C18" s="98">
        <v>12</v>
      </c>
      <c r="D18" s="98">
        <v>8</v>
      </c>
      <c r="E18" s="98">
        <v>8</v>
      </c>
      <c r="F18" s="98">
        <v>10</v>
      </c>
      <c r="G18" s="98">
        <v>12</v>
      </c>
      <c r="H18" s="98">
        <v>8</v>
      </c>
      <c r="I18" s="142">
        <v>8</v>
      </c>
    </row>
    <row r="19" spans="1:9">
      <c r="A19" s="93"/>
      <c r="B19" s="94"/>
      <c r="C19" s="95"/>
      <c r="D19" s="95"/>
      <c r="E19" s="95"/>
      <c r="F19" s="95"/>
      <c r="G19" s="95"/>
      <c r="H19" s="95"/>
      <c r="I19" s="6"/>
    </row>
    <row r="20" spans="1:9">
      <c r="A20" s="30" t="s">
        <v>31</v>
      </c>
      <c r="B20" s="44" t="s">
        <v>3</v>
      </c>
      <c r="C20" s="41">
        <v>2013</v>
      </c>
      <c r="D20" s="41">
        <v>2014</v>
      </c>
      <c r="E20" s="41">
        <v>2015</v>
      </c>
      <c r="F20" s="41">
        <v>2016</v>
      </c>
      <c r="G20" s="41">
        <v>2017</v>
      </c>
      <c r="H20" s="41" t="s">
        <v>116</v>
      </c>
      <c r="I20" s="119" t="s">
        <v>176</v>
      </c>
    </row>
    <row r="21" spans="1:9">
      <c r="A21" s="32" t="s">
        <v>26</v>
      </c>
      <c r="B21" s="35" t="s">
        <v>4</v>
      </c>
      <c r="C21" s="91">
        <v>3</v>
      </c>
      <c r="D21" s="91">
        <v>1</v>
      </c>
      <c r="E21" s="91">
        <v>0</v>
      </c>
      <c r="F21" s="91">
        <v>1</v>
      </c>
      <c r="G21" s="91" t="s">
        <v>118</v>
      </c>
      <c r="H21" s="91">
        <v>4</v>
      </c>
      <c r="I21" s="91">
        <v>0</v>
      </c>
    </row>
    <row r="22" spans="1:9">
      <c r="A22" s="32" t="s">
        <v>9</v>
      </c>
      <c r="B22" s="35" t="s">
        <v>4</v>
      </c>
      <c r="C22" s="91">
        <v>3</v>
      </c>
      <c r="D22" s="91">
        <v>5</v>
      </c>
      <c r="E22" s="91">
        <v>4</v>
      </c>
      <c r="F22" s="91">
        <v>3</v>
      </c>
      <c r="G22" s="91">
        <v>2</v>
      </c>
      <c r="H22" s="91">
        <v>2</v>
      </c>
      <c r="I22" s="91">
        <v>5</v>
      </c>
    </row>
    <row r="23" spans="1:9">
      <c r="A23" s="33" t="s">
        <v>27</v>
      </c>
      <c r="B23" s="36" t="s">
        <v>4</v>
      </c>
      <c r="C23" s="99">
        <v>2</v>
      </c>
      <c r="D23" s="99">
        <v>2</v>
      </c>
      <c r="E23" s="99">
        <v>4</v>
      </c>
      <c r="F23" s="99">
        <v>4</v>
      </c>
      <c r="G23" s="99">
        <v>5</v>
      </c>
      <c r="H23" s="99">
        <v>5</v>
      </c>
      <c r="I23" s="99">
        <v>5</v>
      </c>
    </row>
    <row r="24" spans="1:9">
      <c r="A24" s="93"/>
      <c r="B24" s="94"/>
      <c r="C24" s="95"/>
      <c r="D24" s="95"/>
      <c r="E24" s="95"/>
      <c r="F24" s="95"/>
      <c r="G24" s="95"/>
      <c r="H24" s="95"/>
    </row>
    <row r="25" spans="1:9">
      <c r="A25" s="30" t="s">
        <v>32</v>
      </c>
      <c r="B25" s="44" t="s">
        <v>3</v>
      </c>
      <c r="C25" s="41">
        <v>2013</v>
      </c>
      <c r="D25" s="41">
        <v>2014</v>
      </c>
      <c r="E25" s="41">
        <v>2015</v>
      </c>
      <c r="F25" s="41">
        <v>2016</v>
      </c>
      <c r="G25" s="41">
        <v>2017</v>
      </c>
      <c r="H25" s="41" t="s">
        <v>116</v>
      </c>
      <c r="I25" s="119" t="s">
        <v>176</v>
      </c>
    </row>
    <row r="26" spans="1:9">
      <c r="A26" s="32" t="s">
        <v>28</v>
      </c>
      <c r="B26" s="35" t="s">
        <v>4</v>
      </c>
      <c r="C26" s="91">
        <v>1</v>
      </c>
      <c r="D26" s="91">
        <v>1</v>
      </c>
      <c r="E26" s="91">
        <v>1</v>
      </c>
      <c r="F26" s="91">
        <v>1</v>
      </c>
      <c r="G26" s="91">
        <v>1</v>
      </c>
      <c r="H26" s="91">
        <v>1</v>
      </c>
      <c r="I26" s="91">
        <v>1</v>
      </c>
    </row>
    <row r="27" spans="1:9">
      <c r="A27" s="32" t="s">
        <v>11</v>
      </c>
      <c r="B27" s="35" t="s">
        <v>4</v>
      </c>
      <c r="C27" s="91">
        <v>7</v>
      </c>
      <c r="D27" s="91">
        <v>5</v>
      </c>
      <c r="E27" s="91">
        <v>5</v>
      </c>
      <c r="F27" s="91">
        <v>5</v>
      </c>
      <c r="G27" s="91">
        <v>6</v>
      </c>
      <c r="H27" s="91">
        <v>6</v>
      </c>
      <c r="I27" s="91">
        <v>6</v>
      </c>
    </row>
    <row r="28" spans="1:9">
      <c r="A28" s="33" t="s">
        <v>12</v>
      </c>
      <c r="B28" s="36" t="s">
        <v>4</v>
      </c>
      <c r="C28" s="99">
        <v>0</v>
      </c>
      <c r="D28" s="99">
        <v>2</v>
      </c>
      <c r="E28" s="99">
        <v>2</v>
      </c>
      <c r="F28" s="99">
        <v>2</v>
      </c>
      <c r="G28" s="99">
        <v>3</v>
      </c>
      <c r="H28" s="99">
        <v>3</v>
      </c>
      <c r="I28" s="99">
        <v>3</v>
      </c>
    </row>
    <row r="29" spans="1:9">
      <c r="A29" s="93"/>
      <c r="B29" s="94"/>
      <c r="C29" s="95"/>
      <c r="D29" s="95"/>
      <c r="E29" s="95"/>
      <c r="F29" s="95"/>
      <c r="G29" s="95"/>
      <c r="H29" s="95"/>
    </row>
    <row r="30" spans="1:9">
      <c r="A30" s="30" t="s">
        <v>33</v>
      </c>
      <c r="B30" s="44" t="s">
        <v>3</v>
      </c>
      <c r="C30" s="41">
        <v>2013</v>
      </c>
      <c r="D30" s="41">
        <v>2014</v>
      </c>
      <c r="E30" s="41">
        <v>2015</v>
      </c>
      <c r="F30" s="41">
        <v>2016</v>
      </c>
      <c r="G30" s="41">
        <v>2017</v>
      </c>
      <c r="H30" s="41" t="s">
        <v>116</v>
      </c>
      <c r="I30" s="119" t="s">
        <v>176</v>
      </c>
    </row>
    <row r="31" spans="1:9">
      <c r="A31" s="32" t="s">
        <v>119</v>
      </c>
      <c r="B31" s="35" t="s">
        <v>0</v>
      </c>
      <c r="C31" s="100">
        <v>0.12</v>
      </c>
      <c r="D31" s="100">
        <v>0.12</v>
      </c>
      <c r="E31" s="100">
        <v>0.12</v>
      </c>
      <c r="F31" s="100">
        <v>0.125</v>
      </c>
      <c r="G31" s="100">
        <v>0.1</v>
      </c>
      <c r="H31" s="100">
        <v>0.1</v>
      </c>
      <c r="I31" s="100">
        <v>0.1</v>
      </c>
    </row>
    <row r="32" spans="1:9">
      <c r="A32" s="32" t="s">
        <v>120</v>
      </c>
      <c r="B32" s="35" t="s">
        <v>0</v>
      </c>
      <c r="C32" s="100">
        <v>0.25</v>
      </c>
      <c r="D32" s="100">
        <v>0.25</v>
      </c>
      <c r="E32" s="100">
        <v>0.25</v>
      </c>
      <c r="F32" s="100">
        <v>0.125</v>
      </c>
      <c r="G32" s="100">
        <v>0.2</v>
      </c>
      <c r="H32" s="100">
        <v>0.2</v>
      </c>
      <c r="I32" s="100">
        <v>0.2</v>
      </c>
    </row>
    <row r="33" spans="1:9">
      <c r="A33" s="32" t="s">
        <v>121</v>
      </c>
      <c r="B33" s="35" t="s">
        <v>0</v>
      </c>
      <c r="C33" s="100">
        <v>0.25</v>
      </c>
      <c r="D33" s="100">
        <v>0.25</v>
      </c>
      <c r="E33" s="100">
        <v>0.25</v>
      </c>
      <c r="F33" s="100">
        <v>0.25</v>
      </c>
      <c r="G33" s="100">
        <v>0.3</v>
      </c>
      <c r="H33" s="100">
        <v>0.2</v>
      </c>
      <c r="I33" s="100">
        <v>0.2</v>
      </c>
    </row>
    <row r="34" spans="1:9">
      <c r="A34" s="33" t="s">
        <v>122</v>
      </c>
      <c r="B34" s="36" t="s">
        <v>0</v>
      </c>
      <c r="C34" s="101">
        <v>0.38</v>
      </c>
      <c r="D34" s="102">
        <v>0.38</v>
      </c>
      <c r="E34" s="102">
        <v>0.38</v>
      </c>
      <c r="F34" s="102">
        <v>0.5</v>
      </c>
      <c r="G34" s="102">
        <v>0.4</v>
      </c>
      <c r="H34" s="102">
        <v>0.5</v>
      </c>
      <c r="I34" s="102">
        <v>0.5</v>
      </c>
    </row>
    <row r="36" spans="1:9">
      <c r="A36" s="30" t="s">
        <v>124</v>
      </c>
      <c r="B36" s="30"/>
      <c r="C36" s="30"/>
      <c r="D36" s="30"/>
      <c r="E36" s="30"/>
      <c r="F36" s="30"/>
      <c r="G36" s="30"/>
      <c r="H36" s="30"/>
      <c r="I36" s="30"/>
    </row>
    <row r="38" spans="1:9">
      <c r="A38" s="30" t="s">
        <v>125</v>
      </c>
      <c r="B38" s="44" t="s">
        <v>3</v>
      </c>
      <c r="C38" s="41">
        <v>2013</v>
      </c>
      <c r="D38" s="41">
        <v>2014</v>
      </c>
      <c r="E38" s="41">
        <v>2015</v>
      </c>
      <c r="F38" s="41">
        <v>2016</v>
      </c>
      <c r="G38" s="41">
        <v>2017</v>
      </c>
      <c r="H38" s="41" t="s">
        <v>116</v>
      </c>
      <c r="I38" s="119" t="s">
        <v>176</v>
      </c>
    </row>
    <row r="39" spans="1:9">
      <c r="A39" s="32" t="s">
        <v>29</v>
      </c>
      <c r="B39" s="35" t="s">
        <v>4</v>
      </c>
      <c r="C39" s="91">
        <v>3</v>
      </c>
      <c r="D39" s="91">
        <v>3</v>
      </c>
      <c r="E39" s="91">
        <v>3</v>
      </c>
      <c r="F39" s="91">
        <v>3</v>
      </c>
      <c r="G39" s="91">
        <v>4</v>
      </c>
      <c r="H39" s="91">
        <v>4</v>
      </c>
      <c r="I39" s="91">
        <v>4</v>
      </c>
    </row>
    <row r="40" spans="1:9">
      <c r="A40" s="32" t="s">
        <v>14</v>
      </c>
      <c r="B40" s="35" t="s">
        <v>4</v>
      </c>
      <c r="C40" s="91">
        <v>3</v>
      </c>
      <c r="D40" s="91">
        <v>3</v>
      </c>
      <c r="E40" s="91">
        <v>3</v>
      </c>
      <c r="F40" s="91">
        <v>3</v>
      </c>
      <c r="G40" s="91">
        <v>4</v>
      </c>
      <c r="H40" s="91">
        <v>4</v>
      </c>
      <c r="I40" s="91">
        <v>4</v>
      </c>
    </row>
    <row r="41" spans="1:9">
      <c r="A41" s="32" t="s">
        <v>18</v>
      </c>
      <c r="B41" s="35" t="s">
        <v>0</v>
      </c>
      <c r="C41" s="91">
        <v>100</v>
      </c>
      <c r="D41" s="91">
        <v>100</v>
      </c>
      <c r="E41" s="91">
        <v>100</v>
      </c>
      <c r="F41" s="91">
        <v>100</v>
      </c>
      <c r="G41" s="91">
        <v>100</v>
      </c>
      <c r="H41" s="91">
        <v>100</v>
      </c>
      <c r="I41" s="91">
        <v>100</v>
      </c>
    </row>
    <row r="42" spans="1:9">
      <c r="A42" s="32" t="s">
        <v>19</v>
      </c>
      <c r="B42" s="35" t="s">
        <v>36</v>
      </c>
      <c r="C42" s="91" t="s">
        <v>20</v>
      </c>
      <c r="D42" s="91" t="s">
        <v>20</v>
      </c>
      <c r="E42" s="91" t="s">
        <v>20</v>
      </c>
      <c r="F42" s="91" t="s">
        <v>20</v>
      </c>
      <c r="G42" s="91" t="s">
        <v>20</v>
      </c>
      <c r="H42" s="91" t="s">
        <v>20</v>
      </c>
      <c r="I42" s="91" t="s">
        <v>20</v>
      </c>
    </row>
    <row r="43" spans="1:9">
      <c r="A43" s="33" t="s">
        <v>15</v>
      </c>
      <c r="B43" s="36" t="s">
        <v>16</v>
      </c>
      <c r="C43" s="99">
        <v>4</v>
      </c>
      <c r="D43" s="99">
        <v>7</v>
      </c>
      <c r="E43" s="99">
        <v>4</v>
      </c>
      <c r="F43" s="99">
        <v>4</v>
      </c>
      <c r="G43" s="99">
        <v>5</v>
      </c>
      <c r="H43" s="99">
        <v>5</v>
      </c>
      <c r="I43" s="99">
        <v>5</v>
      </c>
    </row>
    <row r="45" spans="1:9">
      <c r="A45" s="30" t="s">
        <v>169</v>
      </c>
      <c r="B45" s="44" t="s">
        <v>3</v>
      </c>
      <c r="C45" s="41">
        <v>2013</v>
      </c>
      <c r="D45" s="41">
        <v>2014</v>
      </c>
      <c r="E45" s="41">
        <v>2015</v>
      </c>
      <c r="F45" s="41">
        <v>2016</v>
      </c>
      <c r="G45" s="41">
        <v>2017</v>
      </c>
      <c r="H45" s="41" t="s">
        <v>116</v>
      </c>
      <c r="I45" s="119" t="s">
        <v>176</v>
      </c>
    </row>
    <row r="46" spans="1:9">
      <c r="A46" s="32" t="s">
        <v>29</v>
      </c>
      <c r="B46" s="35" t="s">
        <v>4</v>
      </c>
      <c r="C46" s="91" t="s">
        <v>24</v>
      </c>
      <c r="D46" s="91">
        <v>3</v>
      </c>
      <c r="E46" s="91">
        <v>3</v>
      </c>
      <c r="F46" s="91">
        <v>3</v>
      </c>
      <c r="G46" s="91">
        <v>3</v>
      </c>
      <c r="H46" s="91">
        <v>3</v>
      </c>
      <c r="I46" s="91">
        <v>3</v>
      </c>
    </row>
    <row r="47" spans="1:9">
      <c r="A47" s="32" t="s">
        <v>14</v>
      </c>
      <c r="B47" s="35" t="s">
        <v>4</v>
      </c>
      <c r="C47" s="91" t="s">
        <v>24</v>
      </c>
      <c r="D47" s="91">
        <v>0</v>
      </c>
      <c r="E47" s="91">
        <v>0</v>
      </c>
      <c r="F47" s="91">
        <v>0</v>
      </c>
      <c r="G47" s="91">
        <v>0</v>
      </c>
      <c r="H47" s="91">
        <v>1</v>
      </c>
      <c r="I47" s="91">
        <v>2</v>
      </c>
    </row>
    <row r="48" spans="1:9">
      <c r="A48" s="32" t="s">
        <v>18</v>
      </c>
      <c r="B48" s="35" t="s">
        <v>0</v>
      </c>
      <c r="C48" s="100" t="s">
        <v>24</v>
      </c>
      <c r="D48" s="100">
        <v>0</v>
      </c>
      <c r="E48" s="100">
        <v>0</v>
      </c>
      <c r="F48" s="100">
        <v>0</v>
      </c>
      <c r="G48" s="100">
        <v>0</v>
      </c>
      <c r="H48" s="100">
        <v>0.33333333333333331</v>
      </c>
      <c r="I48" s="100">
        <v>0.67</v>
      </c>
    </row>
    <row r="49" spans="1:9">
      <c r="A49" s="32" t="s">
        <v>19</v>
      </c>
      <c r="B49" s="35" t="s">
        <v>36</v>
      </c>
      <c r="C49" s="91" t="s">
        <v>24</v>
      </c>
      <c r="D49" s="91" t="s">
        <v>21</v>
      </c>
      <c r="E49" s="91" t="s">
        <v>21</v>
      </c>
      <c r="F49" s="91" t="s">
        <v>21</v>
      </c>
      <c r="G49" s="91" t="s">
        <v>21</v>
      </c>
      <c r="H49" s="91" t="s">
        <v>20</v>
      </c>
      <c r="I49" s="91" t="s">
        <v>20</v>
      </c>
    </row>
    <row r="50" spans="1:9">
      <c r="A50" s="33" t="s">
        <v>15</v>
      </c>
      <c r="B50" s="36" t="s">
        <v>16</v>
      </c>
      <c r="C50" s="99" t="s">
        <v>24</v>
      </c>
      <c r="D50" s="99">
        <v>2</v>
      </c>
      <c r="E50" s="99">
        <v>2</v>
      </c>
      <c r="F50" s="99">
        <v>4</v>
      </c>
      <c r="G50" s="99">
        <v>4</v>
      </c>
      <c r="H50" s="99">
        <v>4</v>
      </c>
      <c r="I50" s="99">
        <v>4</v>
      </c>
    </row>
    <row r="52" spans="1:9">
      <c r="A52" s="30" t="s">
        <v>126</v>
      </c>
      <c r="B52" s="44" t="s">
        <v>3</v>
      </c>
      <c r="C52" s="41">
        <v>2013</v>
      </c>
      <c r="D52" s="41">
        <v>2014</v>
      </c>
      <c r="E52" s="41">
        <v>2015</v>
      </c>
      <c r="F52" s="41">
        <v>2016</v>
      </c>
      <c r="G52" s="41">
        <v>2017</v>
      </c>
      <c r="H52" s="41" t="s">
        <v>116</v>
      </c>
      <c r="I52" s="119" t="s">
        <v>176</v>
      </c>
    </row>
    <row r="53" spans="1:9">
      <c r="A53" s="32" t="s">
        <v>29</v>
      </c>
      <c r="B53" s="35" t="s">
        <v>4</v>
      </c>
      <c r="C53" s="91">
        <v>4</v>
      </c>
      <c r="D53" s="91">
        <v>3</v>
      </c>
      <c r="E53" s="91">
        <v>3</v>
      </c>
      <c r="F53" s="91">
        <v>3</v>
      </c>
      <c r="G53" s="91">
        <v>3</v>
      </c>
      <c r="H53" s="91">
        <v>3</v>
      </c>
      <c r="I53" s="91">
        <v>3</v>
      </c>
    </row>
    <row r="54" spans="1:9">
      <c r="A54" s="32" t="s">
        <v>14</v>
      </c>
      <c r="B54" s="35" t="s">
        <v>4</v>
      </c>
      <c r="C54" s="91">
        <v>2</v>
      </c>
      <c r="D54" s="91">
        <v>3</v>
      </c>
      <c r="E54" s="91">
        <v>3</v>
      </c>
      <c r="F54" s="91">
        <v>3</v>
      </c>
      <c r="G54" s="91">
        <v>3</v>
      </c>
      <c r="H54" s="91">
        <v>3</v>
      </c>
      <c r="I54" s="91">
        <v>3</v>
      </c>
    </row>
    <row r="55" spans="1:9">
      <c r="A55" s="32" t="s">
        <v>18</v>
      </c>
      <c r="B55" s="35" t="s">
        <v>0</v>
      </c>
      <c r="C55" s="100">
        <v>0.5</v>
      </c>
      <c r="D55" s="100">
        <v>1</v>
      </c>
      <c r="E55" s="100">
        <v>1</v>
      </c>
      <c r="F55" s="100">
        <v>1</v>
      </c>
      <c r="G55" s="100">
        <v>1</v>
      </c>
      <c r="H55" s="100">
        <v>1</v>
      </c>
      <c r="I55" s="100">
        <v>1</v>
      </c>
    </row>
    <row r="56" spans="1:9">
      <c r="A56" s="32" t="s">
        <v>19</v>
      </c>
      <c r="B56" s="35" t="s">
        <v>36</v>
      </c>
      <c r="C56" s="91" t="s">
        <v>20</v>
      </c>
      <c r="D56" s="91" t="s">
        <v>20</v>
      </c>
      <c r="E56" s="91" t="s">
        <v>20</v>
      </c>
      <c r="F56" s="91" t="s">
        <v>20</v>
      </c>
      <c r="G56" s="91" t="s">
        <v>20</v>
      </c>
      <c r="H56" s="91" t="s">
        <v>20</v>
      </c>
      <c r="I56" s="91" t="s">
        <v>20</v>
      </c>
    </row>
    <row r="57" spans="1:9">
      <c r="A57" s="33" t="s">
        <v>15</v>
      </c>
      <c r="B57" s="36" t="s">
        <v>16</v>
      </c>
      <c r="C57" s="99">
        <v>2</v>
      </c>
      <c r="D57" s="99">
        <v>4</v>
      </c>
      <c r="E57" s="99">
        <v>4</v>
      </c>
      <c r="F57" s="99">
        <v>4</v>
      </c>
      <c r="G57" s="99">
        <v>4</v>
      </c>
      <c r="H57" s="99">
        <v>4</v>
      </c>
      <c r="I57" s="99">
        <v>4</v>
      </c>
    </row>
    <row r="59" spans="1:9">
      <c r="A59" s="30" t="s">
        <v>13</v>
      </c>
      <c r="B59" s="44" t="s">
        <v>3</v>
      </c>
      <c r="C59" s="41">
        <v>2013</v>
      </c>
      <c r="D59" s="41">
        <v>2014</v>
      </c>
      <c r="E59" s="41">
        <v>2015</v>
      </c>
      <c r="F59" s="41">
        <v>2016</v>
      </c>
      <c r="G59" s="41">
        <v>2017</v>
      </c>
      <c r="H59" s="41" t="s">
        <v>116</v>
      </c>
      <c r="I59" s="119" t="s">
        <v>176</v>
      </c>
    </row>
    <row r="60" spans="1:9">
      <c r="A60" s="32" t="s">
        <v>29</v>
      </c>
      <c r="B60" s="35" t="s">
        <v>4</v>
      </c>
      <c r="C60" s="91">
        <v>3</v>
      </c>
      <c r="D60" s="91">
        <v>3</v>
      </c>
      <c r="E60" s="91">
        <v>3</v>
      </c>
      <c r="F60" s="91">
        <v>3</v>
      </c>
      <c r="G60" s="91">
        <v>3</v>
      </c>
      <c r="H60" s="91">
        <v>4</v>
      </c>
      <c r="I60" s="91">
        <v>4</v>
      </c>
    </row>
    <row r="61" spans="1:9">
      <c r="A61" s="32" t="s">
        <v>14</v>
      </c>
      <c r="B61" s="35" t="s">
        <v>4</v>
      </c>
      <c r="C61" s="91">
        <v>1</v>
      </c>
      <c r="D61" s="91">
        <v>0</v>
      </c>
      <c r="E61" s="91">
        <v>0</v>
      </c>
      <c r="F61" s="91">
        <v>0</v>
      </c>
      <c r="G61" s="91">
        <v>0</v>
      </c>
      <c r="H61" s="91">
        <v>1</v>
      </c>
      <c r="I61" s="91">
        <v>1</v>
      </c>
    </row>
    <row r="62" spans="1:9">
      <c r="A62" s="32" t="s">
        <v>18</v>
      </c>
      <c r="B62" s="35" t="s">
        <v>0</v>
      </c>
      <c r="C62" s="100">
        <v>0.33333333333333331</v>
      </c>
      <c r="D62" s="100">
        <v>0</v>
      </c>
      <c r="E62" s="100">
        <v>0</v>
      </c>
      <c r="F62" s="100">
        <v>0</v>
      </c>
      <c r="G62" s="100">
        <v>0</v>
      </c>
      <c r="H62" s="100">
        <v>0.25</v>
      </c>
      <c r="I62" s="100">
        <v>0.25</v>
      </c>
    </row>
    <row r="63" spans="1:9">
      <c r="A63" s="32" t="s">
        <v>19</v>
      </c>
      <c r="B63" s="35" t="s">
        <v>36</v>
      </c>
      <c r="C63" s="91" t="s">
        <v>21</v>
      </c>
      <c r="D63" s="91" t="s">
        <v>21</v>
      </c>
      <c r="E63" s="91" t="s">
        <v>21</v>
      </c>
      <c r="F63" s="91" t="s">
        <v>21</v>
      </c>
      <c r="G63" s="91" t="s">
        <v>21</v>
      </c>
      <c r="H63" s="91" t="s">
        <v>21</v>
      </c>
      <c r="I63" s="91" t="s">
        <v>21</v>
      </c>
    </row>
    <row r="64" spans="1:9">
      <c r="A64" s="33" t="s">
        <v>15</v>
      </c>
      <c r="B64" s="36" t="s">
        <v>16</v>
      </c>
      <c r="C64" s="99">
        <v>1</v>
      </c>
      <c r="D64" s="99">
        <v>2</v>
      </c>
      <c r="E64" s="99">
        <v>2</v>
      </c>
      <c r="F64" s="99">
        <v>2</v>
      </c>
      <c r="G64" s="99">
        <v>3</v>
      </c>
      <c r="H64" s="99">
        <v>1</v>
      </c>
      <c r="I64" s="99">
        <v>2</v>
      </c>
    </row>
    <row r="66" spans="1:9">
      <c r="A66" s="30" t="s">
        <v>127</v>
      </c>
      <c r="B66" s="44" t="s">
        <v>3</v>
      </c>
      <c r="C66" s="41">
        <v>2013</v>
      </c>
      <c r="D66" s="41">
        <v>2014</v>
      </c>
      <c r="E66" s="41">
        <v>2015</v>
      </c>
      <c r="F66" s="41">
        <v>2016</v>
      </c>
      <c r="G66" s="41">
        <v>2017</v>
      </c>
      <c r="H66" s="41" t="s">
        <v>116</v>
      </c>
      <c r="I66" s="119" t="s">
        <v>176</v>
      </c>
    </row>
    <row r="67" spans="1:9">
      <c r="A67" s="32" t="s">
        <v>29</v>
      </c>
      <c r="B67" s="35" t="s">
        <v>4</v>
      </c>
      <c r="C67" s="91">
        <v>3</v>
      </c>
      <c r="D67" s="91">
        <v>3</v>
      </c>
      <c r="E67" s="91">
        <v>3</v>
      </c>
      <c r="F67" s="91">
        <v>3</v>
      </c>
      <c r="G67" s="91">
        <v>3</v>
      </c>
      <c r="H67" s="91">
        <v>3</v>
      </c>
      <c r="I67" s="91">
        <v>3</v>
      </c>
    </row>
    <row r="68" spans="1:9">
      <c r="A68" s="32" t="s">
        <v>14</v>
      </c>
      <c r="B68" s="35" t="s">
        <v>4</v>
      </c>
      <c r="C68" s="91">
        <v>1</v>
      </c>
      <c r="D68" s="91">
        <v>1</v>
      </c>
      <c r="E68" s="91">
        <v>1</v>
      </c>
      <c r="F68" s="91">
        <v>1</v>
      </c>
      <c r="G68" s="91">
        <v>1</v>
      </c>
      <c r="H68" s="91">
        <v>1</v>
      </c>
      <c r="I68" s="91">
        <v>1</v>
      </c>
    </row>
    <row r="69" spans="1:9">
      <c r="A69" s="32" t="s">
        <v>18</v>
      </c>
      <c r="B69" s="35" t="s">
        <v>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0" t="s">
        <v>128</v>
      </c>
    </row>
    <row r="70" spans="1:9">
      <c r="A70" s="32" t="s">
        <v>19</v>
      </c>
      <c r="B70" s="35" t="s">
        <v>36</v>
      </c>
      <c r="C70" s="91" t="s">
        <v>21</v>
      </c>
      <c r="D70" s="91" t="s">
        <v>21</v>
      </c>
      <c r="E70" s="91" t="s">
        <v>21</v>
      </c>
      <c r="F70" s="91" t="s">
        <v>21</v>
      </c>
      <c r="G70" s="91" t="s">
        <v>21</v>
      </c>
      <c r="H70" s="91" t="s">
        <v>21</v>
      </c>
      <c r="I70" s="91" t="s">
        <v>21</v>
      </c>
    </row>
    <row r="71" spans="1:9">
      <c r="A71" s="33" t="s">
        <v>15</v>
      </c>
      <c r="B71" s="36" t="s">
        <v>16</v>
      </c>
      <c r="C71" s="99">
        <v>3</v>
      </c>
      <c r="D71" s="99">
        <v>3</v>
      </c>
      <c r="E71" s="99">
        <v>3</v>
      </c>
      <c r="F71" s="99">
        <v>3</v>
      </c>
      <c r="G71" s="99">
        <v>3</v>
      </c>
      <c r="H71" s="99">
        <v>2</v>
      </c>
      <c r="I71" s="99">
        <v>3</v>
      </c>
    </row>
    <row r="72" spans="1:9">
      <c r="A72" s="118"/>
      <c r="B72" s="34"/>
      <c r="C72" s="143"/>
      <c r="D72" s="143"/>
      <c r="E72" s="143"/>
      <c r="F72" s="143"/>
      <c r="G72" s="143"/>
      <c r="H72" s="143"/>
      <c r="I72" s="143"/>
    </row>
    <row r="73" spans="1:9">
      <c r="A73" s="30" t="s">
        <v>182</v>
      </c>
      <c r="B73" s="44" t="s">
        <v>3</v>
      </c>
      <c r="C73" s="119">
        <v>2013</v>
      </c>
      <c r="D73" s="119">
        <v>2014</v>
      </c>
      <c r="E73" s="119">
        <v>2015</v>
      </c>
      <c r="F73" s="119">
        <v>2016</v>
      </c>
      <c r="G73" s="119">
        <v>2017</v>
      </c>
      <c r="H73" s="119" t="s">
        <v>116</v>
      </c>
      <c r="I73" s="119" t="s">
        <v>176</v>
      </c>
    </row>
    <row r="74" spans="1:9">
      <c r="A74" s="32" t="s">
        <v>29</v>
      </c>
      <c r="B74" s="35" t="s">
        <v>4</v>
      </c>
      <c r="C74" s="91" t="s">
        <v>24</v>
      </c>
      <c r="D74" s="91" t="s">
        <v>24</v>
      </c>
      <c r="E74" s="91" t="s">
        <v>24</v>
      </c>
      <c r="F74" s="91" t="s">
        <v>24</v>
      </c>
      <c r="G74" s="91" t="s">
        <v>24</v>
      </c>
      <c r="H74" s="91" t="s">
        <v>24</v>
      </c>
      <c r="I74" s="91">
        <v>3</v>
      </c>
    </row>
    <row r="75" spans="1:9">
      <c r="A75" s="32" t="s">
        <v>14</v>
      </c>
      <c r="B75" s="35" t="s">
        <v>4</v>
      </c>
      <c r="C75" s="91" t="s">
        <v>24</v>
      </c>
      <c r="D75" s="91" t="s">
        <v>24</v>
      </c>
      <c r="E75" s="91" t="s">
        <v>24</v>
      </c>
      <c r="F75" s="91" t="s">
        <v>24</v>
      </c>
      <c r="G75" s="91" t="s">
        <v>24</v>
      </c>
      <c r="H75" s="91" t="s">
        <v>24</v>
      </c>
      <c r="I75" s="91">
        <v>2</v>
      </c>
    </row>
    <row r="76" spans="1:9">
      <c r="A76" s="32" t="s">
        <v>18</v>
      </c>
      <c r="B76" s="35" t="s">
        <v>0</v>
      </c>
      <c r="C76" s="100" t="s">
        <v>24</v>
      </c>
      <c r="D76" s="100" t="s">
        <v>24</v>
      </c>
      <c r="E76" s="100" t="s">
        <v>24</v>
      </c>
      <c r="F76" s="100" t="s">
        <v>24</v>
      </c>
      <c r="G76" s="100" t="s">
        <v>24</v>
      </c>
      <c r="H76" s="100" t="s">
        <v>24</v>
      </c>
      <c r="I76" s="100">
        <v>0.67</v>
      </c>
    </row>
    <row r="77" spans="1:9">
      <c r="A77" s="32" t="s">
        <v>19</v>
      </c>
      <c r="B77" s="35" t="s">
        <v>36</v>
      </c>
      <c r="C77" s="91" t="s">
        <v>24</v>
      </c>
      <c r="D77" s="91" t="s">
        <v>24</v>
      </c>
      <c r="E77" s="91" t="s">
        <v>24</v>
      </c>
      <c r="F77" s="91" t="s">
        <v>24</v>
      </c>
      <c r="G77" s="91" t="s">
        <v>24</v>
      </c>
      <c r="H77" s="91" t="s">
        <v>24</v>
      </c>
      <c r="I77" s="91" t="s">
        <v>20</v>
      </c>
    </row>
    <row r="78" spans="1:9">
      <c r="A78" s="33" t="s">
        <v>15</v>
      </c>
      <c r="B78" s="36" t="s">
        <v>16</v>
      </c>
      <c r="C78" s="99" t="s">
        <v>24</v>
      </c>
      <c r="D78" s="99" t="s">
        <v>24</v>
      </c>
      <c r="E78" s="99" t="s">
        <v>24</v>
      </c>
      <c r="F78" s="99" t="s">
        <v>24</v>
      </c>
      <c r="G78" s="99" t="s">
        <v>24</v>
      </c>
      <c r="H78" s="99" t="s">
        <v>24</v>
      </c>
      <c r="I78" s="99">
        <v>2</v>
      </c>
    </row>
    <row r="80" spans="1:9">
      <c r="A80" s="30" t="s">
        <v>168</v>
      </c>
      <c r="B80" s="44" t="s">
        <v>3</v>
      </c>
      <c r="C80" s="41">
        <v>2013</v>
      </c>
      <c r="D80" s="41">
        <v>2014</v>
      </c>
      <c r="E80" s="41">
        <v>2015</v>
      </c>
      <c r="F80" s="41">
        <v>2016</v>
      </c>
      <c r="G80" s="41">
        <v>2017</v>
      </c>
      <c r="H80" s="41" t="s">
        <v>116</v>
      </c>
      <c r="I80" s="119" t="s">
        <v>176</v>
      </c>
    </row>
    <row r="81" spans="1:10">
      <c r="A81" s="32" t="s">
        <v>37</v>
      </c>
      <c r="B81" s="35" t="s">
        <v>4</v>
      </c>
      <c r="C81" s="91">
        <v>6</v>
      </c>
      <c r="D81" s="91">
        <v>5</v>
      </c>
      <c r="E81" s="91">
        <v>5</v>
      </c>
      <c r="F81" s="91">
        <v>5</v>
      </c>
      <c r="G81" s="91">
        <v>5</v>
      </c>
      <c r="H81" s="91">
        <v>7</v>
      </c>
      <c r="I81" s="91">
        <v>7</v>
      </c>
    </row>
    <row r="82" spans="1:10">
      <c r="A82" s="33" t="s">
        <v>38</v>
      </c>
      <c r="B82" s="36" t="s">
        <v>16</v>
      </c>
      <c r="C82" s="99">
        <v>4</v>
      </c>
      <c r="D82" s="99">
        <v>6</v>
      </c>
      <c r="E82" s="99">
        <v>3</v>
      </c>
      <c r="F82" s="99">
        <v>7</v>
      </c>
      <c r="G82" s="99">
        <v>8</v>
      </c>
      <c r="H82" s="99">
        <v>6</v>
      </c>
      <c r="I82" s="99">
        <v>7</v>
      </c>
    </row>
    <row r="84" spans="1:10" ht="27">
      <c r="A84" s="103" t="s">
        <v>129</v>
      </c>
      <c r="B84" s="104" t="s">
        <v>3</v>
      </c>
      <c r="C84" s="104">
        <v>2013</v>
      </c>
      <c r="D84" s="104">
        <v>2014</v>
      </c>
      <c r="E84" s="104">
        <v>2015</v>
      </c>
      <c r="F84" s="104">
        <v>2016</v>
      </c>
      <c r="G84" s="104">
        <v>2017</v>
      </c>
      <c r="H84" s="104" t="s">
        <v>116</v>
      </c>
      <c r="I84" s="104" t="s">
        <v>176</v>
      </c>
    </row>
    <row r="85" spans="1:10" ht="24">
      <c r="A85" s="105" t="s">
        <v>131</v>
      </c>
      <c r="B85" s="106" t="s">
        <v>36</v>
      </c>
      <c r="C85" s="99" t="s">
        <v>21</v>
      </c>
      <c r="D85" s="99" t="s">
        <v>21</v>
      </c>
      <c r="E85" s="99" t="s">
        <v>21</v>
      </c>
      <c r="F85" s="99" t="s">
        <v>21</v>
      </c>
      <c r="G85" s="99" t="s">
        <v>21</v>
      </c>
      <c r="H85" s="99" t="s">
        <v>20</v>
      </c>
      <c r="I85" s="99" t="s">
        <v>20</v>
      </c>
    </row>
    <row r="87" spans="1:10">
      <c r="A87" s="103" t="s">
        <v>130</v>
      </c>
      <c r="B87" s="104" t="s">
        <v>3</v>
      </c>
      <c r="C87" s="104">
        <v>2013</v>
      </c>
      <c r="D87" s="104">
        <v>2014</v>
      </c>
      <c r="E87" s="104">
        <v>2015</v>
      </c>
      <c r="F87" s="104">
        <v>2016</v>
      </c>
      <c r="G87" s="104">
        <v>2017</v>
      </c>
      <c r="H87" s="104" t="s">
        <v>116</v>
      </c>
      <c r="I87" s="104" t="s">
        <v>176</v>
      </c>
    </row>
    <row r="88" spans="1:10">
      <c r="A88" s="105" t="s">
        <v>132</v>
      </c>
      <c r="B88" s="106" t="s">
        <v>36</v>
      </c>
      <c r="C88" s="99" t="s">
        <v>20</v>
      </c>
      <c r="D88" s="99" t="s">
        <v>20</v>
      </c>
      <c r="E88" s="99" t="s">
        <v>20</v>
      </c>
      <c r="F88" s="99" t="s">
        <v>20</v>
      </c>
      <c r="G88" s="99" t="s">
        <v>20</v>
      </c>
      <c r="H88" s="99" t="s">
        <v>20</v>
      </c>
      <c r="I88" s="99" t="s">
        <v>20</v>
      </c>
    </row>
    <row r="90" spans="1:10">
      <c r="A90" s="103" t="s">
        <v>133</v>
      </c>
      <c r="B90" s="104" t="s">
        <v>3</v>
      </c>
      <c r="C90" s="104">
        <v>2013</v>
      </c>
      <c r="D90" s="104">
        <v>2014</v>
      </c>
      <c r="E90" s="104">
        <v>2015</v>
      </c>
      <c r="F90" s="104">
        <v>2016</v>
      </c>
      <c r="G90" s="104">
        <v>2017</v>
      </c>
      <c r="H90" s="104" t="s">
        <v>116</v>
      </c>
      <c r="I90" s="104" t="s">
        <v>176</v>
      </c>
    </row>
    <row r="91" spans="1:10">
      <c r="A91" s="105" t="s">
        <v>134</v>
      </c>
      <c r="B91" s="106" t="s">
        <v>113</v>
      </c>
      <c r="C91" s="107">
        <v>365.2</v>
      </c>
      <c r="D91" s="107">
        <v>365.2</v>
      </c>
      <c r="E91" s="107">
        <v>540</v>
      </c>
      <c r="F91" s="107">
        <v>540</v>
      </c>
      <c r="G91" s="107">
        <v>540</v>
      </c>
      <c r="H91" s="107">
        <v>590</v>
      </c>
      <c r="I91" s="107">
        <v>590</v>
      </c>
    </row>
    <row r="93" spans="1:10">
      <c r="A93" s="108"/>
      <c r="B93" s="109"/>
      <c r="C93" s="110"/>
      <c r="D93" s="110"/>
      <c r="E93" s="110"/>
      <c r="F93" s="110"/>
      <c r="G93" s="110"/>
      <c r="H93" s="110"/>
      <c r="I93" s="110"/>
      <c r="J93" s="111"/>
    </row>
    <row r="94" spans="1:10" ht="25.5" customHeight="1">
      <c r="A94" s="192"/>
      <c r="B94" s="193"/>
      <c r="C94" s="193"/>
      <c r="D94" s="193"/>
      <c r="E94" s="193"/>
      <c r="F94" s="193"/>
      <c r="G94" s="193"/>
      <c r="H94" s="193"/>
      <c r="I94" s="193"/>
      <c r="J94" s="193"/>
    </row>
    <row r="95" spans="1:10" ht="18" customHeight="1">
      <c r="A95" s="108"/>
      <c r="B95" s="109"/>
      <c r="C95" s="110"/>
      <c r="D95" s="110"/>
      <c r="E95" s="110"/>
      <c r="F95" s="110"/>
      <c r="G95" s="110"/>
      <c r="H95" s="110"/>
      <c r="I95" s="110"/>
      <c r="J95" s="111"/>
    </row>
  </sheetData>
  <mergeCells count="1">
    <mergeCell ref="A94:J94"/>
  </mergeCells>
  <pageMargins left="0.25" right="0.25" top="0.75" bottom="0.75" header="0.3" footer="0.3"/>
  <pageSetup paperSize="9" scale="5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1FDB9B-0F45-4739-BAB4-D26ED936B46A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2e6c4e6a-6d57-47d6-9288-076169c1f69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884983B-CEE7-46DC-8DE6-4E71E73D8A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279FCB-5F55-4740-BB85-09B9D214F1D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A566946-93EE-47A1-8911-AC4C875B3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МЕНЮ</vt:lpstr>
      <vt:lpstr>ЭКОЛОГИЯ</vt:lpstr>
      <vt:lpstr>ЭНЕРГОЭФФЕКТИВНОСТЬ</vt:lpstr>
      <vt:lpstr>СОЦИАЛЬНАЯ ОТВЕТСТВЕННОСТЬ</vt:lpstr>
      <vt:lpstr>КОРПОРАТИВНОЕ УПРАВЛЕНИЕ</vt:lpstr>
      <vt:lpstr>МЕНЮ!Область_печати</vt:lpstr>
      <vt:lpstr>'СОЦИАЛЬНАЯ ОТВЕТСТВЕННОСТЬ'!Область_печати</vt:lpstr>
      <vt:lpstr>ЭКОЛОГИЯ!Область_печати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AlekseenkoVV@nornik.ru</dc:creator>
  <cp:lastModifiedBy>Кудряшов Сергей Владимирович</cp:lastModifiedBy>
  <cp:lastPrinted>2019-11-11T14:58:04Z</cp:lastPrinted>
  <dcterms:created xsi:type="dcterms:W3CDTF">2016-12-15T13:22:24Z</dcterms:created>
  <dcterms:modified xsi:type="dcterms:W3CDTF">2020-09-08T08:51:47Z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